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Lita\Desktop\SĒDES\Domes sēdes\Nr.8\"/>
    </mc:Choice>
  </mc:AlternateContent>
  <xr:revisionPtr revIDLastSave="0" documentId="8_{503D9212-A15D-48B0-8F15-3717B8284E08}" xr6:coauthVersionLast="47" xr6:coauthVersionMax="47" xr10:uidLastSave="{00000000-0000-0000-0000-000000000000}"/>
  <bookViews>
    <workbookView xWindow="-120" yWindow="-120" windowWidth="29040" windowHeight="15840" tabRatio="970" activeTab="5" xr2:uid="{00000000-000D-0000-FFFF-FFFF00000000}"/>
  </bookViews>
  <sheets>
    <sheet name="Koptāme" sheetId="61" r:id="rId1"/>
    <sheet name="Kopsavilkums" sheetId="62" r:id="rId2"/>
    <sheet name="BA1 CELTN." sheetId="31" r:id="rId3"/>
    <sheet name="BA2 EL" sheetId="52" r:id="rId4"/>
    <sheet name="BA3 ELT" sheetId="53" r:id="rId5"/>
    <sheet name="BA4 UATS" sheetId="54" r:id="rId6"/>
    <sheet name="BA5 UK" sheetId="55" r:id="rId7"/>
    <sheet name="BA6 LKT" sheetId="56" r:id="rId8"/>
    <sheet name="BA7 SM" sheetId="57" r:id="rId9"/>
    <sheet name="BA8 VENT" sheetId="58" r:id="rId10"/>
    <sheet name="BA9 APKURE" sheetId="59" r:id="rId11"/>
    <sheet name="BA10 CEĻI" sheetId="60" r:id="rId12"/>
  </sheets>
  <definedNames>
    <definedName name="__xlnm.Print_Area">#REF!</definedName>
    <definedName name="__xlnm.Print_Area_10">#REF!</definedName>
    <definedName name="__xlnm.Print_Area_2">#REF!</definedName>
    <definedName name="__xlnm.Print_Area_3">#REF!</definedName>
    <definedName name="__xlnm.Print_Area_4">#REF!</definedName>
    <definedName name="__xlnm.Print_Area_5">#REF!</definedName>
    <definedName name="__xlnm.Print_Area_6">#REF!</definedName>
    <definedName name="__xlnm.Print_Area_7">#REF!</definedName>
    <definedName name="__xlnm.Print_Area_8">#REF!</definedName>
    <definedName name="__xlnm.Print_Area_9">#REF!</definedName>
    <definedName name="__xlnm.Print_Titles_1">#REF!</definedName>
    <definedName name="__xlnm.Print_Titles_2">#REF!</definedName>
    <definedName name="__xlnm.Print_Titles_3">#REF!</definedName>
    <definedName name="__xlnm.Print_Titles_4">#REF!</definedName>
    <definedName name="__xlnm.Print_Titles_5">#REF!</definedName>
    <definedName name="__xlnm.Print_Titles_6">#REF!</definedName>
    <definedName name="__xlnm.Print_Titles_7">#REF!</definedName>
    <definedName name="__xlnm.Print_Titles_8">#REF!</definedName>
    <definedName name="__xlnm.Print_Titles_9">#REF!</definedName>
    <definedName name="_xlnm.Print_Area" localSheetId="2">'BA1 CELTN.'!$A$1:$E$235</definedName>
    <definedName name="_xlnm.Print_Area" localSheetId="11">'BA10 CEĻI'!$A$1:$E$59</definedName>
    <definedName name="_xlnm.Print_Area" localSheetId="3">'BA2 EL'!$A$1:$E$80</definedName>
    <definedName name="_xlnm.Print_Area" localSheetId="4">'BA3 ELT'!$A$1:$E$45</definedName>
    <definedName name="_xlnm.Print_Area" localSheetId="5">'BA4 UATS'!$A$1:$E$38</definedName>
    <definedName name="_xlnm.Print_Area" localSheetId="6">'BA5 UK'!$A$1:$E$84</definedName>
    <definedName name="_xlnm.Print_Area" localSheetId="7">'BA6 LKT'!$A$1:$E$52</definedName>
    <definedName name="_xlnm.Print_Area" localSheetId="8">'BA7 SM'!$A$1:$E$82</definedName>
    <definedName name="_xlnm.Print_Area" localSheetId="9">'BA8 VENT'!$A$1:$E$73</definedName>
    <definedName name="_xlnm.Print_Area" localSheetId="10">'BA9 APKURE'!$A$1:$E$34</definedName>
    <definedName name="_xlnm.Print_Titles" localSheetId="2">'BA1 CELTN.'!$14:$15</definedName>
    <definedName name="_xlnm.Print_Titles" localSheetId="11">'BA10 CEĻI'!$14:$15</definedName>
    <definedName name="_xlnm.Print_Titles" localSheetId="3">'BA2 EL'!$14:$15</definedName>
    <definedName name="_xlnm.Print_Titles" localSheetId="4">'BA3 ELT'!$14:$15</definedName>
    <definedName name="_xlnm.Print_Titles" localSheetId="5">'BA4 UATS'!$14:$15</definedName>
    <definedName name="_xlnm.Print_Titles" localSheetId="6">'BA5 UK'!$14:$15</definedName>
    <definedName name="_xlnm.Print_Titles" localSheetId="7">'BA6 LKT'!$14:$15</definedName>
    <definedName name="_xlnm.Print_Titles" localSheetId="8">'BA7 SM'!$14:$15</definedName>
    <definedName name="_xlnm.Print_Titles" localSheetId="9">'BA8 VENT'!$14:$15</definedName>
    <definedName name="_xlnm.Print_Titles" localSheetId="10">'BA9 APKURE'!$14:$15</definedName>
  </definedNames>
  <calcPr calcId="191029" iterateDelta="1E-4" fullPrecision="0"/>
</workbook>
</file>

<file path=xl/calcChain.xml><?xml version="1.0" encoding="utf-8"?>
<calcChain xmlns="http://schemas.openxmlformats.org/spreadsheetml/2006/main">
  <c r="H23" i="57" l="1"/>
  <c r="F67" i="57"/>
  <c r="F65" i="57"/>
  <c r="H55" i="57"/>
  <c r="H54" i="57"/>
  <c r="H42" i="57"/>
  <c r="H41" i="57"/>
  <c r="H40" i="57"/>
  <c r="H22" i="57"/>
  <c r="F18" i="57"/>
  <c r="F19" i="57"/>
  <c r="F20" i="57"/>
  <c r="F21" i="57"/>
  <c r="F17" i="57"/>
  <c r="F58" i="58"/>
  <c r="F50" i="58"/>
  <c r="F51" i="58"/>
  <c r="F52" i="58"/>
  <c r="F53" i="58"/>
  <c r="F49" i="58"/>
  <c r="F41" i="58"/>
  <c r="F42" i="58"/>
  <c r="F43" i="58"/>
  <c r="F44" i="58"/>
  <c r="F45" i="58"/>
  <c r="F46" i="58"/>
  <c r="F40" i="58"/>
  <c r="H20" i="58" l="1"/>
  <c r="H73" i="55"/>
  <c r="H72" i="55"/>
  <c r="H71" i="55"/>
  <c r="H70" i="55"/>
  <c r="F69" i="55"/>
  <c r="H69" i="55" s="1"/>
  <c r="F57" i="55"/>
  <c r="H57" i="55" s="1"/>
  <c r="H68" i="55"/>
  <c r="H67" i="55"/>
  <c r="H56" i="55"/>
  <c r="H54" i="55"/>
  <c r="H52" i="55"/>
  <c r="F41" i="55"/>
  <c r="F42" i="55"/>
  <c r="F40" i="55"/>
  <c r="H37" i="55"/>
  <c r="H36" i="55"/>
  <c r="F34" i="55"/>
  <c r="H34" i="55" s="1"/>
  <c r="H32" i="55"/>
  <c r="J31" i="55"/>
  <c r="I31" i="55"/>
  <c r="H31" i="55"/>
  <c r="F30" i="55"/>
  <c r="H30" i="55" s="1"/>
  <c r="J29" i="55"/>
  <c r="I29" i="55"/>
  <c r="H29" i="55"/>
  <c r="H26" i="55"/>
  <c r="H25" i="55"/>
  <c r="H23" i="55"/>
  <c r="F21" i="55"/>
  <c r="H21" i="55" s="1"/>
  <c r="F19" i="55"/>
  <c r="H18" i="55"/>
  <c r="F38" i="56"/>
  <c r="I38" i="56"/>
  <c r="F36" i="56"/>
  <c r="H36" i="56" s="1"/>
  <c r="F35" i="56"/>
  <c r="H35" i="56" s="1"/>
  <c r="F34" i="56"/>
  <c r="H34" i="56" s="1"/>
  <c r="J30" i="56" l="1"/>
  <c r="I30" i="56"/>
  <c r="H30" i="56"/>
  <c r="F29" i="56"/>
  <c r="J28" i="56"/>
  <c r="I28" i="56"/>
  <c r="H22" i="56"/>
  <c r="F20" i="56"/>
  <c r="H18" i="54"/>
  <c r="J18" i="54" s="1"/>
  <c r="H22" i="54"/>
  <c r="J22" i="54" s="1"/>
  <c r="F21" i="54"/>
  <c r="H20" i="54"/>
  <c r="J20" i="54" s="1"/>
  <c r="H19" i="54"/>
  <c r="J19" i="54" s="1"/>
  <c r="I44" i="60" l="1"/>
  <c r="I41" i="60"/>
  <c r="F43" i="60"/>
  <c r="H43" i="60" s="1"/>
  <c r="J42" i="60"/>
  <c r="I42" i="60"/>
  <c r="F42" i="60"/>
  <c r="H42" i="60" s="1"/>
  <c r="H41" i="60"/>
  <c r="I36" i="60"/>
  <c r="J37" i="60"/>
  <c r="I37" i="60"/>
  <c r="F37" i="60"/>
  <c r="H37" i="60" s="1"/>
  <c r="F38" i="60"/>
  <c r="J33" i="60"/>
  <c r="I33" i="60"/>
  <c r="F33" i="60"/>
  <c r="F32" i="60"/>
  <c r="J32" i="60"/>
  <c r="I32" i="60"/>
  <c r="H29" i="60"/>
  <c r="H28" i="60"/>
  <c r="F21" i="60"/>
  <c r="F20" i="60"/>
  <c r="F23" i="59"/>
  <c r="H33" i="53"/>
  <c r="H31" i="53"/>
  <c r="F29" i="53"/>
  <c r="H23" i="53"/>
  <c r="H22" i="53"/>
  <c r="F19" i="53"/>
  <c r="I31" i="52"/>
  <c r="F42" i="52" l="1"/>
  <c r="F43" i="52"/>
  <c r="F44" i="52"/>
  <c r="F45" i="52"/>
  <c r="F46" i="52"/>
  <c r="F47" i="52"/>
  <c r="F48" i="52"/>
  <c r="F41" i="52"/>
  <c r="F35" i="52"/>
  <c r="I139" i="31"/>
  <c r="F20" i="52"/>
  <c r="F21" i="52"/>
  <c r="F22" i="52"/>
  <c r="F23" i="52"/>
  <c r="F24" i="52"/>
  <c r="F25" i="52"/>
  <c r="F26" i="52"/>
  <c r="F27" i="52"/>
  <c r="F19" i="52"/>
  <c r="H160" i="31"/>
  <c r="H159" i="31"/>
  <c r="H158" i="31"/>
  <c r="H157" i="31"/>
  <c r="H156" i="31"/>
  <c r="F176" i="31" l="1"/>
  <c r="F175" i="31"/>
  <c r="F147" i="31"/>
  <c r="F134" i="31" l="1"/>
  <c r="F133" i="31"/>
  <c r="F131" i="31"/>
  <c r="H131" i="31" s="1"/>
  <c r="F130" i="31"/>
  <c r="I129" i="31"/>
  <c r="I128" i="31"/>
  <c r="F128" i="31"/>
  <c r="F126" i="31"/>
  <c r="H125" i="31"/>
  <c r="H124" i="31"/>
  <c r="I120" i="31"/>
  <c r="F120" i="31"/>
  <c r="H120" i="31" s="1"/>
  <c r="H119" i="31"/>
  <c r="F112" i="31"/>
  <c r="H112" i="31" s="1"/>
  <c r="I112" i="31"/>
  <c r="F111" i="31"/>
  <c r="F110" i="31"/>
  <c r="F109" i="31"/>
  <c r="I104" i="31"/>
  <c r="F104" i="31"/>
  <c r="H104" i="31" s="1"/>
  <c r="I103" i="31" l="1"/>
  <c r="I102" i="31"/>
  <c r="F102" i="31"/>
  <c r="H102" i="31" s="1"/>
  <c r="H101" i="31"/>
  <c r="F100" i="31"/>
  <c r="F97" i="31"/>
  <c r="H97" i="31" s="1"/>
  <c r="F96" i="31"/>
  <c r="H96" i="31" s="1"/>
  <c r="H95" i="31"/>
  <c r="I89" i="31"/>
  <c r="F89" i="31"/>
  <c r="H88" i="31"/>
  <c r="H87" i="31"/>
  <c r="H86" i="31"/>
  <c r="H85" i="31"/>
  <c r="H82" i="31"/>
  <c r="H81" i="31"/>
  <c r="H80" i="31"/>
  <c r="H79" i="31"/>
  <c r="H77" i="31"/>
  <c r="H76" i="31"/>
  <c r="H75" i="31"/>
  <c r="J70" i="31"/>
  <c r="I70" i="31"/>
  <c r="F70" i="31"/>
  <c r="H70" i="31" s="1"/>
  <c r="J178" i="31"/>
  <c r="F178" i="31"/>
  <c r="F221" i="31"/>
  <c r="H221" i="31" s="1"/>
  <c r="H220" i="31"/>
  <c r="H219" i="31"/>
  <c r="H218" i="31"/>
  <c r="F215" i="31"/>
  <c r="F214" i="31"/>
  <c r="I216" i="31"/>
  <c r="H216" i="31"/>
  <c r="F209" i="31" l="1"/>
  <c r="F207" i="31"/>
  <c r="H202" i="31"/>
  <c r="F204" i="31"/>
  <c r="H204" i="31" s="1"/>
  <c r="H203" i="31"/>
  <c r="F200" i="31"/>
  <c r="H197" i="31"/>
  <c r="F195" i="31"/>
  <c r="I194" i="31"/>
  <c r="I190" i="31"/>
  <c r="F190" i="31"/>
  <c r="I189" i="31"/>
  <c r="H189" i="31"/>
  <c r="I186" i="31"/>
  <c r="L178" i="31" l="1"/>
  <c r="I178" i="31"/>
  <c r="F66" i="31"/>
  <c r="F63" i="31"/>
  <c r="L63" i="31" s="1"/>
  <c r="F62" i="31"/>
  <c r="H61" i="31"/>
  <c r="K61" i="31" s="1"/>
  <c r="H60" i="31"/>
  <c r="H58" i="31"/>
  <c r="M58" i="31" s="1"/>
  <c r="F46" i="31"/>
  <c r="J31" i="31"/>
  <c r="H48" i="60"/>
  <c r="K48" i="60" s="1"/>
  <c r="O47" i="60"/>
  <c r="N47" i="60"/>
  <c r="L47" i="60"/>
  <c r="H47" i="60"/>
  <c r="K47" i="60" s="1"/>
  <c r="H46" i="60"/>
  <c r="K46" i="60" s="1"/>
  <c r="O45" i="60"/>
  <c r="N45" i="60"/>
  <c r="L45" i="60"/>
  <c r="H45" i="60"/>
  <c r="M45" i="60" s="1"/>
  <c r="O44" i="60"/>
  <c r="N44" i="60"/>
  <c r="L44" i="60"/>
  <c r="H44" i="60"/>
  <c r="K44" i="60" s="1"/>
  <c r="O42" i="60"/>
  <c r="N42" i="60"/>
  <c r="L42" i="60"/>
  <c r="K42" i="60"/>
  <c r="O41" i="60"/>
  <c r="N41" i="60"/>
  <c r="L41" i="60"/>
  <c r="M41" i="60"/>
  <c r="O40" i="60"/>
  <c r="N40" i="60"/>
  <c r="L40" i="60"/>
  <c r="H40" i="60"/>
  <c r="K40" i="60" s="1"/>
  <c r="O39" i="60"/>
  <c r="N39" i="60"/>
  <c r="L39" i="60"/>
  <c r="H39" i="60"/>
  <c r="K39" i="60" s="1"/>
  <c r="H38" i="60"/>
  <c r="K38" i="60" s="1"/>
  <c r="O37" i="60"/>
  <c r="N37" i="60"/>
  <c r="L37" i="60"/>
  <c r="M37" i="60"/>
  <c r="H36" i="60"/>
  <c r="O35" i="60"/>
  <c r="N35" i="60"/>
  <c r="L35" i="60"/>
  <c r="H35" i="60"/>
  <c r="K35" i="60" s="1"/>
  <c r="O34" i="60"/>
  <c r="N34" i="60"/>
  <c r="L34" i="60"/>
  <c r="H34" i="60"/>
  <c r="O33" i="60"/>
  <c r="N33" i="60"/>
  <c r="L33" i="60"/>
  <c r="H33" i="60"/>
  <c r="M33" i="60" s="1"/>
  <c r="O32" i="60"/>
  <c r="N32" i="60"/>
  <c r="L32" i="60"/>
  <c r="H32" i="60"/>
  <c r="K32" i="60" s="1"/>
  <c r="O31" i="60"/>
  <c r="N31" i="60"/>
  <c r="L31" i="60"/>
  <c r="H31" i="60"/>
  <c r="K31" i="60" s="1"/>
  <c r="O30" i="60"/>
  <c r="N30" i="60"/>
  <c r="L30" i="60"/>
  <c r="H30" i="60"/>
  <c r="K30" i="60" s="1"/>
  <c r="K28" i="60"/>
  <c r="O27" i="60"/>
  <c r="N27" i="60"/>
  <c r="L27" i="60"/>
  <c r="H27" i="60"/>
  <c r="O26" i="60"/>
  <c r="N26" i="60"/>
  <c r="L26" i="60"/>
  <c r="H26" i="60"/>
  <c r="M26" i="60" s="1"/>
  <c r="O25" i="60"/>
  <c r="N25" i="60"/>
  <c r="L25" i="60"/>
  <c r="H25" i="60"/>
  <c r="M25" i="60" s="1"/>
  <c r="O24" i="60"/>
  <c r="N24" i="60"/>
  <c r="L24" i="60"/>
  <c r="H24" i="60"/>
  <c r="K24" i="60" s="1"/>
  <c r="O23" i="60"/>
  <c r="N23" i="60"/>
  <c r="L23" i="60"/>
  <c r="H23" i="60"/>
  <c r="H22" i="60"/>
  <c r="K22" i="60" s="1"/>
  <c r="O21" i="60"/>
  <c r="N21" i="60"/>
  <c r="L21" i="60"/>
  <c r="H21" i="60"/>
  <c r="M21" i="60" s="1"/>
  <c r="O20" i="60"/>
  <c r="N20" i="60"/>
  <c r="L20" i="60"/>
  <c r="H20" i="60"/>
  <c r="K20" i="60" s="1"/>
  <c r="O19" i="60"/>
  <c r="N19" i="60"/>
  <c r="L19" i="60"/>
  <c r="H19" i="60"/>
  <c r="O18" i="60"/>
  <c r="N18" i="60"/>
  <c r="L18" i="60"/>
  <c r="H18" i="60"/>
  <c r="K18" i="60" s="1"/>
  <c r="O17" i="60"/>
  <c r="N17" i="60"/>
  <c r="L17" i="60"/>
  <c r="H17" i="60"/>
  <c r="M17" i="60" s="1"/>
  <c r="O23" i="59"/>
  <c r="N23" i="59"/>
  <c r="L23" i="59"/>
  <c r="H23" i="59"/>
  <c r="O22" i="59"/>
  <c r="N22" i="59"/>
  <c r="L22" i="59"/>
  <c r="H22" i="59"/>
  <c r="K22" i="59" s="1"/>
  <c r="O21" i="59"/>
  <c r="N21" i="59"/>
  <c r="L21" i="59"/>
  <c r="H21" i="59"/>
  <c r="M21" i="59" s="1"/>
  <c r="O20" i="59"/>
  <c r="N20" i="59"/>
  <c r="L20" i="59"/>
  <c r="H20" i="59"/>
  <c r="M20" i="59" s="1"/>
  <c r="O19" i="59"/>
  <c r="N19" i="59"/>
  <c r="L19" i="59"/>
  <c r="K19" i="59"/>
  <c r="H19" i="59"/>
  <c r="M19" i="59" s="1"/>
  <c r="O18" i="59"/>
  <c r="N18" i="59"/>
  <c r="L18" i="59"/>
  <c r="H18" i="59"/>
  <c r="K18" i="59" s="1"/>
  <c r="O17" i="59"/>
  <c r="N17" i="59"/>
  <c r="L17" i="59"/>
  <c r="H17" i="59"/>
  <c r="K17" i="59" s="1"/>
  <c r="O62" i="58"/>
  <c r="N62" i="58"/>
  <c r="M62" i="58"/>
  <c r="P62" i="58" s="1"/>
  <c r="L62" i="58"/>
  <c r="H62" i="58"/>
  <c r="K62" i="58" s="1"/>
  <c r="O61" i="58"/>
  <c r="N61" i="58"/>
  <c r="L61" i="58"/>
  <c r="H61" i="58"/>
  <c r="K61" i="58" s="1"/>
  <c r="O60" i="58"/>
  <c r="N60" i="58"/>
  <c r="L60" i="58"/>
  <c r="H60" i="58"/>
  <c r="M60" i="58" s="1"/>
  <c r="O59" i="58"/>
  <c r="N59" i="58"/>
  <c r="L59" i="58"/>
  <c r="H59" i="58"/>
  <c r="M59" i="58" s="1"/>
  <c r="O58" i="58"/>
  <c r="N58" i="58"/>
  <c r="L58" i="58"/>
  <c r="H58" i="58"/>
  <c r="K58" i="58" s="1"/>
  <c r="O57" i="58"/>
  <c r="N57" i="58"/>
  <c r="L57" i="58"/>
  <c r="H57" i="58"/>
  <c r="K57" i="58" s="1"/>
  <c r="O56" i="58"/>
  <c r="N56" i="58"/>
  <c r="L56" i="58"/>
  <c r="H56" i="58"/>
  <c r="K56" i="58" s="1"/>
  <c r="O55" i="58"/>
  <c r="N55" i="58"/>
  <c r="L55" i="58"/>
  <c r="H55" i="58"/>
  <c r="M55" i="58" s="1"/>
  <c r="O54" i="58"/>
  <c r="N54" i="58"/>
  <c r="L54" i="58"/>
  <c r="H54" i="58"/>
  <c r="K54" i="58" s="1"/>
  <c r="O53" i="58"/>
  <c r="N53" i="58"/>
  <c r="L53" i="58"/>
  <c r="H53" i="58"/>
  <c r="K53" i="58" s="1"/>
  <c r="O52" i="58"/>
  <c r="N52" i="58"/>
  <c r="M52" i="58"/>
  <c r="L52" i="58"/>
  <c r="K52" i="58"/>
  <c r="H52" i="58"/>
  <c r="O51" i="58"/>
  <c r="N51" i="58"/>
  <c r="L51" i="58"/>
  <c r="H51" i="58"/>
  <c r="M51" i="58" s="1"/>
  <c r="O50" i="58"/>
  <c r="N50" i="58"/>
  <c r="M50" i="58"/>
  <c r="L50" i="58"/>
  <c r="H50" i="58"/>
  <c r="K50" i="58" s="1"/>
  <c r="O49" i="58"/>
  <c r="N49" i="58"/>
  <c r="L49" i="58"/>
  <c r="H49" i="58"/>
  <c r="K49" i="58" s="1"/>
  <c r="O48" i="58"/>
  <c r="N48" i="58"/>
  <c r="L48" i="58"/>
  <c r="H48" i="58"/>
  <c r="M48" i="58" s="1"/>
  <c r="O47" i="58"/>
  <c r="N47" i="58"/>
  <c r="L47" i="58"/>
  <c r="H47" i="58"/>
  <c r="M47" i="58" s="1"/>
  <c r="O46" i="58"/>
  <c r="N46" i="58"/>
  <c r="L46" i="58"/>
  <c r="H46" i="58"/>
  <c r="K46" i="58" s="1"/>
  <c r="O45" i="58"/>
  <c r="N45" i="58"/>
  <c r="L45" i="58"/>
  <c r="H45" i="58"/>
  <c r="K45" i="58" s="1"/>
  <c r="O44" i="58"/>
  <c r="N44" i="58"/>
  <c r="L44" i="58"/>
  <c r="H44" i="58"/>
  <c r="M44" i="58" s="1"/>
  <c r="O43" i="58"/>
  <c r="N43" i="58"/>
  <c r="L43" i="58"/>
  <c r="H43" i="58"/>
  <c r="M43" i="58" s="1"/>
  <c r="O42" i="58"/>
  <c r="N42" i="58"/>
  <c r="L42" i="58"/>
  <c r="H42" i="58"/>
  <c r="K42" i="58" s="1"/>
  <c r="O41" i="58"/>
  <c r="N41" i="58"/>
  <c r="L41" i="58"/>
  <c r="H41" i="58"/>
  <c r="K41" i="58" s="1"/>
  <c r="O40" i="58"/>
  <c r="N40" i="58"/>
  <c r="L40" i="58"/>
  <c r="H40" i="58"/>
  <c r="M40" i="58" s="1"/>
  <c r="O39" i="58"/>
  <c r="N39" i="58"/>
  <c r="L39" i="58"/>
  <c r="H39" i="58"/>
  <c r="M39" i="58" s="1"/>
  <c r="O38" i="58"/>
  <c r="N38" i="58"/>
  <c r="L38" i="58"/>
  <c r="H38" i="58"/>
  <c r="K38" i="58" s="1"/>
  <c r="O37" i="58"/>
  <c r="N37" i="58"/>
  <c r="L37" i="58"/>
  <c r="H37" i="58"/>
  <c r="K37" i="58" s="1"/>
  <c r="O36" i="58"/>
  <c r="N36" i="58"/>
  <c r="L36" i="58"/>
  <c r="H36" i="58"/>
  <c r="M36" i="58" s="1"/>
  <c r="O35" i="58"/>
  <c r="N35" i="58"/>
  <c r="L35" i="58"/>
  <c r="H35" i="58"/>
  <c r="M35" i="58" s="1"/>
  <c r="O34" i="58"/>
  <c r="N34" i="58"/>
  <c r="M34" i="58"/>
  <c r="L34" i="58"/>
  <c r="H34" i="58"/>
  <c r="K34" i="58" s="1"/>
  <c r="O33" i="58"/>
  <c r="N33" i="58"/>
  <c r="L33" i="58"/>
  <c r="H33" i="58"/>
  <c r="K33" i="58" s="1"/>
  <c r="O32" i="58"/>
  <c r="N32" i="58"/>
  <c r="L32" i="58"/>
  <c r="H32" i="58"/>
  <c r="M32" i="58" s="1"/>
  <c r="O31" i="58"/>
  <c r="N31" i="58"/>
  <c r="L31" i="58"/>
  <c r="H31" i="58"/>
  <c r="M31" i="58" s="1"/>
  <c r="O30" i="58"/>
  <c r="N30" i="58"/>
  <c r="L30" i="58"/>
  <c r="H30" i="58"/>
  <c r="K30" i="58" s="1"/>
  <c r="O29" i="58"/>
  <c r="N29" i="58"/>
  <c r="L29" i="58"/>
  <c r="H29" i="58"/>
  <c r="K29" i="58" s="1"/>
  <c r="O28" i="58"/>
  <c r="N28" i="58"/>
  <c r="L28" i="58"/>
  <c r="H28" i="58"/>
  <c r="M28" i="58" s="1"/>
  <c r="O27" i="58"/>
  <c r="N27" i="58"/>
  <c r="L27" i="58"/>
  <c r="H27" i="58"/>
  <c r="M27" i="58" s="1"/>
  <c r="O26" i="58"/>
  <c r="N26" i="58"/>
  <c r="M26" i="58"/>
  <c r="L26" i="58"/>
  <c r="H26" i="58"/>
  <c r="K26" i="58" s="1"/>
  <c r="O25" i="58"/>
  <c r="N25" i="58"/>
  <c r="L25" i="58"/>
  <c r="H25" i="58"/>
  <c r="K25" i="58" s="1"/>
  <c r="O24" i="58"/>
  <c r="N24" i="58"/>
  <c r="L24" i="58"/>
  <c r="H24" i="58"/>
  <c r="M24" i="58" s="1"/>
  <c r="O23" i="58"/>
  <c r="N23" i="58"/>
  <c r="L23" i="58"/>
  <c r="H23" i="58"/>
  <c r="M23" i="58" s="1"/>
  <c r="O22" i="58"/>
  <c r="N22" i="58"/>
  <c r="L22" i="58"/>
  <c r="H22" i="58"/>
  <c r="K22" i="58" s="1"/>
  <c r="O21" i="58"/>
  <c r="N21" i="58"/>
  <c r="L21" i="58"/>
  <c r="H21" i="58"/>
  <c r="K21" i="58" s="1"/>
  <c r="O20" i="58"/>
  <c r="N20" i="58"/>
  <c r="L20" i="58"/>
  <c r="K20" i="58"/>
  <c r="M20" i="58"/>
  <c r="O19" i="58"/>
  <c r="N19" i="58"/>
  <c r="L19" i="58"/>
  <c r="H19" i="58"/>
  <c r="M19" i="58" s="1"/>
  <c r="O18" i="58"/>
  <c r="N18" i="58"/>
  <c r="L18" i="58"/>
  <c r="H18" i="58"/>
  <c r="K18" i="58" s="1"/>
  <c r="O17" i="58"/>
  <c r="N17" i="58"/>
  <c r="L17" i="58"/>
  <c r="H17" i="58"/>
  <c r="K17" i="58" s="1"/>
  <c r="O71" i="57"/>
  <c r="N71" i="57"/>
  <c r="L71" i="57"/>
  <c r="H71" i="57"/>
  <c r="M71" i="57" s="1"/>
  <c r="O70" i="57"/>
  <c r="N70" i="57"/>
  <c r="L70" i="57"/>
  <c r="H70" i="57"/>
  <c r="M70" i="57" s="1"/>
  <c r="O69" i="57"/>
  <c r="N69" i="57"/>
  <c r="L69" i="57"/>
  <c r="H69" i="57"/>
  <c r="M69" i="57" s="1"/>
  <c r="O68" i="57"/>
  <c r="N68" i="57"/>
  <c r="L68" i="57"/>
  <c r="H68" i="57"/>
  <c r="M68" i="57" s="1"/>
  <c r="O67" i="57"/>
  <c r="N67" i="57"/>
  <c r="L67" i="57"/>
  <c r="H67" i="57"/>
  <c r="O66" i="57"/>
  <c r="N66" i="57"/>
  <c r="L66" i="57"/>
  <c r="K66" i="57"/>
  <c r="H66" i="57"/>
  <c r="M66" i="57" s="1"/>
  <c r="O65" i="57"/>
  <c r="N65" i="57"/>
  <c r="L65" i="57"/>
  <c r="H65" i="57"/>
  <c r="M65" i="57" s="1"/>
  <c r="O64" i="57"/>
  <c r="N64" i="57"/>
  <c r="L64" i="57"/>
  <c r="H64" i="57"/>
  <c r="M64" i="57" s="1"/>
  <c r="O63" i="57"/>
  <c r="N63" i="57"/>
  <c r="L63" i="57"/>
  <c r="H63" i="57"/>
  <c r="K63" i="57" s="1"/>
  <c r="O62" i="57"/>
  <c r="N62" i="57"/>
  <c r="L62" i="57"/>
  <c r="H62" i="57"/>
  <c r="O61" i="57"/>
  <c r="N61" i="57"/>
  <c r="L61" i="57"/>
  <c r="H61" i="57"/>
  <c r="M61" i="57" s="1"/>
  <c r="O60" i="57"/>
  <c r="N60" i="57"/>
  <c r="L60" i="57"/>
  <c r="H60" i="57"/>
  <c r="M60" i="57" s="1"/>
  <c r="O59" i="57"/>
  <c r="N59" i="57"/>
  <c r="L59" i="57"/>
  <c r="H59" i="57"/>
  <c r="K59" i="57" s="1"/>
  <c r="O58" i="57"/>
  <c r="N58" i="57"/>
  <c r="L58" i="57"/>
  <c r="H58" i="57"/>
  <c r="M58" i="57" s="1"/>
  <c r="O57" i="57"/>
  <c r="N57" i="57"/>
  <c r="L57" i="57"/>
  <c r="H57" i="57"/>
  <c r="O56" i="57"/>
  <c r="N56" i="57"/>
  <c r="L56" i="57"/>
  <c r="H56" i="57"/>
  <c r="M56" i="57" s="1"/>
  <c r="O55" i="57"/>
  <c r="N55" i="57"/>
  <c r="L55" i="57"/>
  <c r="K55" i="57"/>
  <c r="O54" i="57"/>
  <c r="N54" i="57"/>
  <c r="L54" i="57"/>
  <c r="M54" i="57"/>
  <c r="O53" i="57"/>
  <c r="N53" i="57"/>
  <c r="L53" i="57"/>
  <c r="H53" i="57"/>
  <c r="M53" i="57" s="1"/>
  <c r="O52" i="57"/>
  <c r="N52" i="57"/>
  <c r="L52" i="57"/>
  <c r="H52" i="57"/>
  <c r="M52" i="57" s="1"/>
  <c r="O51" i="57"/>
  <c r="N51" i="57"/>
  <c r="L51" i="57"/>
  <c r="H51" i="57"/>
  <c r="O50" i="57"/>
  <c r="N50" i="57"/>
  <c r="L50" i="57"/>
  <c r="H50" i="57"/>
  <c r="M50" i="57" s="1"/>
  <c r="O49" i="57"/>
  <c r="N49" i="57"/>
  <c r="L49" i="57"/>
  <c r="H49" i="57"/>
  <c r="M49" i="57" s="1"/>
  <c r="O48" i="57"/>
  <c r="N48" i="57"/>
  <c r="L48" i="57"/>
  <c r="H48" i="57"/>
  <c r="M48" i="57" s="1"/>
  <c r="O47" i="57"/>
  <c r="N47" i="57"/>
  <c r="L47" i="57"/>
  <c r="H47" i="57"/>
  <c r="K47" i="57" s="1"/>
  <c r="O46" i="57"/>
  <c r="N46" i="57"/>
  <c r="L46" i="57"/>
  <c r="H46" i="57"/>
  <c r="O45" i="57"/>
  <c r="N45" i="57"/>
  <c r="L45" i="57"/>
  <c r="H45" i="57"/>
  <c r="M45" i="57" s="1"/>
  <c r="O44" i="57"/>
  <c r="N44" i="57"/>
  <c r="L44" i="57"/>
  <c r="H44" i="57"/>
  <c r="M44" i="57" s="1"/>
  <c r="O43" i="57"/>
  <c r="N43" i="57"/>
  <c r="L43" i="57"/>
  <c r="H43" i="57"/>
  <c r="K43" i="57" s="1"/>
  <c r="O42" i="57"/>
  <c r="N42" i="57"/>
  <c r="L42" i="57"/>
  <c r="K42" i="57"/>
  <c r="M42" i="57"/>
  <c r="O41" i="57"/>
  <c r="N41" i="57"/>
  <c r="L41" i="57"/>
  <c r="O40" i="57"/>
  <c r="N40" i="57"/>
  <c r="L40" i="57"/>
  <c r="M40" i="57"/>
  <c r="O39" i="57"/>
  <c r="N39" i="57"/>
  <c r="L39" i="57"/>
  <c r="H39" i="57"/>
  <c r="K39" i="57" s="1"/>
  <c r="O38" i="57"/>
  <c r="N38" i="57"/>
  <c r="L38" i="57"/>
  <c r="H38" i="57"/>
  <c r="M38" i="57" s="1"/>
  <c r="O37" i="57"/>
  <c r="N37" i="57"/>
  <c r="L37" i="57"/>
  <c r="H37" i="57"/>
  <c r="O36" i="57"/>
  <c r="N36" i="57"/>
  <c r="L36" i="57"/>
  <c r="H36" i="57"/>
  <c r="M36" i="57" s="1"/>
  <c r="O35" i="57"/>
  <c r="N35" i="57"/>
  <c r="L35" i="57"/>
  <c r="H35" i="57"/>
  <c r="K35" i="57" s="1"/>
  <c r="O34" i="57"/>
  <c r="N34" i="57"/>
  <c r="L34" i="57"/>
  <c r="H34" i="57"/>
  <c r="M34" i="57" s="1"/>
  <c r="O33" i="57"/>
  <c r="N33" i="57"/>
  <c r="L33" i="57"/>
  <c r="H33" i="57"/>
  <c r="O32" i="57"/>
  <c r="N32" i="57"/>
  <c r="L32" i="57"/>
  <c r="H32" i="57"/>
  <c r="M32" i="57" s="1"/>
  <c r="O31" i="57"/>
  <c r="N31" i="57"/>
  <c r="L31" i="57"/>
  <c r="H31" i="57"/>
  <c r="K31" i="57" s="1"/>
  <c r="O30" i="57"/>
  <c r="N30" i="57"/>
  <c r="L30" i="57"/>
  <c r="H30" i="57"/>
  <c r="M30" i="57" s="1"/>
  <c r="O29" i="57"/>
  <c r="N29" i="57"/>
  <c r="L29" i="57"/>
  <c r="H29" i="57"/>
  <c r="M29" i="57" s="1"/>
  <c r="O28" i="57"/>
  <c r="N28" i="57"/>
  <c r="L28" i="57"/>
  <c r="H28" i="57"/>
  <c r="M28" i="57" s="1"/>
  <c r="O27" i="57"/>
  <c r="N27" i="57"/>
  <c r="L27" i="57"/>
  <c r="H27" i="57"/>
  <c r="O26" i="57"/>
  <c r="N26" i="57"/>
  <c r="L26" i="57"/>
  <c r="H26" i="57"/>
  <c r="M26" i="57" s="1"/>
  <c r="O25" i="57"/>
  <c r="N25" i="57"/>
  <c r="L25" i="57"/>
  <c r="H25" i="57"/>
  <c r="M25" i="57" s="1"/>
  <c r="O24" i="57"/>
  <c r="N24" i="57"/>
  <c r="L24" i="57"/>
  <c r="H24" i="57"/>
  <c r="M24" i="57" s="1"/>
  <c r="O23" i="57"/>
  <c r="N23" i="57"/>
  <c r="L23" i="57"/>
  <c r="K23" i="57"/>
  <c r="O22" i="57"/>
  <c r="N22" i="57"/>
  <c r="L22" i="57"/>
  <c r="O21" i="57"/>
  <c r="N21" i="57"/>
  <c r="L21" i="57"/>
  <c r="H21" i="57"/>
  <c r="M21" i="57" s="1"/>
  <c r="O20" i="57"/>
  <c r="N20" i="57"/>
  <c r="L20" i="57"/>
  <c r="H20" i="57"/>
  <c r="M20" i="57" s="1"/>
  <c r="O19" i="57"/>
  <c r="N19" i="57"/>
  <c r="L19" i="57"/>
  <c r="H19" i="57"/>
  <c r="K19" i="57" s="1"/>
  <c r="O18" i="57"/>
  <c r="N18" i="57"/>
  <c r="L18" i="57"/>
  <c r="H18" i="57"/>
  <c r="M18" i="57" s="1"/>
  <c r="O17" i="57"/>
  <c r="N17" i="57"/>
  <c r="L17" i="57"/>
  <c r="H17" i="57"/>
  <c r="O41" i="56"/>
  <c r="N41" i="56"/>
  <c r="L41" i="56"/>
  <c r="H41" i="56"/>
  <c r="K41" i="56" s="1"/>
  <c r="H40" i="56"/>
  <c r="K40" i="56" s="1"/>
  <c r="O39" i="56"/>
  <c r="N39" i="56"/>
  <c r="L39" i="56"/>
  <c r="H39" i="56"/>
  <c r="M39" i="56" s="1"/>
  <c r="O38" i="56"/>
  <c r="N38" i="56"/>
  <c r="L38" i="56"/>
  <c r="H38" i="56"/>
  <c r="M38" i="56" s="1"/>
  <c r="O37" i="56"/>
  <c r="N37" i="56"/>
  <c r="L37" i="56"/>
  <c r="H37" i="56"/>
  <c r="K37" i="56" s="1"/>
  <c r="O36" i="56"/>
  <c r="N36" i="56"/>
  <c r="L36" i="56"/>
  <c r="O35" i="56"/>
  <c r="N35" i="56"/>
  <c r="M35" i="56"/>
  <c r="L35" i="56"/>
  <c r="K35" i="56"/>
  <c r="O34" i="56"/>
  <c r="N34" i="56"/>
  <c r="L34" i="56"/>
  <c r="M34" i="56"/>
  <c r="O33" i="56"/>
  <c r="N33" i="56"/>
  <c r="L33" i="56"/>
  <c r="H33" i="56"/>
  <c r="K33" i="56" s="1"/>
  <c r="O32" i="56"/>
  <c r="N32" i="56"/>
  <c r="L32" i="56"/>
  <c r="H32" i="56"/>
  <c r="K32" i="56" s="1"/>
  <c r="O31" i="56"/>
  <c r="N31" i="56"/>
  <c r="L31" i="56"/>
  <c r="H31" i="56"/>
  <c r="M31" i="56" s="1"/>
  <c r="O29" i="56"/>
  <c r="N29" i="56"/>
  <c r="L29" i="56"/>
  <c r="H29" i="56"/>
  <c r="H28" i="56"/>
  <c r="K28" i="56" s="1"/>
  <c r="O27" i="56"/>
  <c r="N27" i="56"/>
  <c r="L27" i="56"/>
  <c r="H27" i="56"/>
  <c r="O26" i="56"/>
  <c r="N26" i="56"/>
  <c r="L26" i="56"/>
  <c r="H26" i="56"/>
  <c r="M26" i="56" s="1"/>
  <c r="P26" i="56" s="1"/>
  <c r="O25" i="56"/>
  <c r="N25" i="56"/>
  <c r="L25" i="56"/>
  <c r="H25" i="56"/>
  <c r="K25" i="56" s="1"/>
  <c r="O24" i="56"/>
  <c r="N24" i="56"/>
  <c r="L24" i="56"/>
  <c r="H24" i="56"/>
  <c r="K24" i="56" s="1"/>
  <c r="O23" i="56"/>
  <c r="N23" i="56"/>
  <c r="L23" i="56"/>
  <c r="K23" i="56"/>
  <c r="H23" i="56"/>
  <c r="M23" i="56" s="1"/>
  <c r="O22" i="56"/>
  <c r="N22" i="56"/>
  <c r="L22" i="56"/>
  <c r="M22" i="56"/>
  <c r="O21" i="56"/>
  <c r="N21" i="56"/>
  <c r="L21" i="56"/>
  <c r="H21" i="56"/>
  <c r="K21" i="56" s="1"/>
  <c r="H20" i="56"/>
  <c r="O19" i="56"/>
  <c r="N19" i="56"/>
  <c r="L19" i="56"/>
  <c r="H19" i="56"/>
  <c r="K19" i="56" s="1"/>
  <c r="O18" i="56"/>
  <c r="N18" i="56"/>
  <c r="L18" i="56"/>
  <c r="H18" i="56"/>
  <c r="M18" i="56" s="1"/>
  <c r="O73" i="55"/>
  <c r="N73" i="55"/>
  <c r="L73" i="55"/>
  <c r="O72" i="55"/>
  <c r="N72" i="55"/>
  <c r="L72" i="55"/>
  <c r="K72" i="55"/>
  <c r="O71" i="55"/>
  <c r="N71" i="55"/>
  <c r="L71" i="55"/>
  <c r="K71" i="55"/>
  <c r="O70" i="55"/>
  <c r="N70" i="55"/>
  <c r="L70" i="55"/>
  <c r="M70" i="55"/>
  <c r="O69" i="55"/>
  <c r="N69" i="55"/>
  <c r="L69" i="55"/>
  <c r="O68" i="55"/>
  <c r="N68" i="55"/>
  <c r="L68" i="55"/>
  <c r="K68" i="55"/>
  <c r="O67" i="55"/>
  <c r="N67" i="55"/>
  <c r="L67" i="55"/>
  <c r="K67" i="55"/>
  <c r="O66" i="55"/>
  <c r="N66" i="55"/>
  <c r="L66" i="55"/>
  <c r="H66" i="55"/>
  <c r="M66" i="55" s="1"/>
  <c r="O65" i="55"/>
  <c r="N65" i="55"/>
  <c r="L65" i="55"/>
  <c r="H65" i="55"/>
  <c r="O64" i="55"/>
  <c r="N64" i="55"/>
  <c r="L64" i="55"/>
  <c r="H64" i="55"/>
  <c r="K64" i="55" s="1"/>
  <c r="O63" i="55"/>
  <c r="N63" i="55"/>
  <c r="L63" i="55"/>
  <c r="H63" i="55"/>
  <c r="K63" i="55" s="1"/>
  <c r="O62" i="55"/>
  <c r="N62" i="55"/>
  <c r="L62" i="55"/>
  <c r="H62" i="55"/>
  <c r="M62" i="55" s="1"/>
  <c r="O61" i="55"/>
  <c r="N61" i="55"/>
  <c r="L61" i="55"/>
  <c r="H61" i="55"/>
  <c r="O60" i="55"/>
  <c r="N60" i="55"/>
  <c r="L60" i="55"/>
  <c r="H60" i="55"/>
  <c r="K60" i="55" s="1"/>
  <c r="O59" i="55"/>
  <c r="N59" i="55"/>
  <c r="L59" i="55"/>
  <c r="H59" i="55"/>
  <c r="K59" i="55" s="1"/>
  <c r="O58" i="55"/>
  <c r="N58" i="55"/>
  <c r="L58" i="55"/>
  <c r="H58" i="55"/>
  <c r="M58" i="55" s="1"/>
  <c r="O57" i="55"/>
  <c r="N57" i="55"/>
  <c r="L57" i="55"/>
  <c r="O56" i="55"/>
  <c r="N56" i="55"/>
  <c r="L56" i="55"/>
  <c r="K56" i="55"/>
  <c r="H55" i="55"/>
  <c r="K55" i="55" s="1"/>
  <c r="O54" i="55"/>
  <c r="N54" i="55"/>
  <c r="L54" i="55"/>
  <c r="M54" i="55"/>
  <c r="O53" i="55"/>
  <c r="N53" i="55"/>
  <c r="L53" i="55"/>
  <c r="H53" i="55"/>
  <c r="O52" i="55"/>
  <c r="N52" i="55"/>
  <c r="L52" i="55"/>
  <c r="K52" i="55"/>
  <c r="O51" i="55"/>
  <c r="N51" i="55"/>
  <c r="L51" i="55"/>
  <c r="H51" i="55"/>
  <c r="K51" i="55" s="1"/>
  <c r="O50" i="55"/>
  <c r="N50" i="55"/>
  <c r="L50" i="55"/>
  <c r="H50" i="55"/>
  <c r="M50" i="55" s="1"/>
  <c r="O49" i="55"/>
  <c r="N49" i="55"/>
  <c r="L49" i="55"/>
  <c r="H49" i="55"/>
  <c r="O48" i="55"/>
  <c r="N48" i="55"/>
  <c r="L48" i="55"/>
  <c r="H48" i="55"/>
  <c r="K48" i="55" s="1"/>
  <c r="O47" i="55"/>
  <c r="N47" i="55"/>
  <c r="L47" i="55"/>
  <c r="H47" i="55"/>
  <c r="K47" i="55" s="1"/>
  <c r="O46" i="55"/>
  <c r="N46" i="55"/>
  <c r="L46" i="55"/>
  <c r="H46" i="55"/>
  <c r="M46" i="55" s="1"/>
  <c r="P46" i="55" s="1"/>
  <c r="O45" i="55"/>
  <c r="N45" i="55"/>
  <c r="L45" i="55"/>
  <c r="H45" i="55"/>
  <c r="O44" i="55"/>
  <c r="N44" i="55"/>
  <c r="L44" i="55"/>
  <c r="H44" i="55"/>
  <c r="K44" i="55" s="1"/>
  <c r="O43" i="55"/>
  <c r="N43" i="55"/>
  <c r="L43" i="55"/>
  <c r="H43" i="55"/>
  <c r="H42" i="55"/>
  <c r="H41" i="55"/>
  <c r="H40" i="55"/>
  <c r="K40" i="55" s="1"/>
  <c r="H39" i="55"/>
  <c r="O38" i="55"/>
  <c r="N38" i="55"/>
  <c r="L38" i="55"/>
  <c r="H38" i="55"/>
  <c r="M38" i="55" s="1"/>
  <c r="O37" i="55"/>
  <c r="N37" i="55"/>
  <c r="L37" i="55"/>
  <c r="K36" i="55"/>
  <c r="O35" i="55"/>
  <c r="N35" i="55"/>
  <c r="L35" i="55"/>
  <c r="H35" i="55"/>
  <c r="O34" i="55"/>
  <c r="N34" i="55"/>
  <c r="L34" i="55"/>
  <c r="M34" i="55"/>
  <c r="O33" i="55"/>
  <c r="N33" i="55"/>
  <c r="L33" i="55"/>
  <c r="H33" i="55"/>
  <c r="M33" i="55" s="1"/>
  <c r="O32" i="55"/>
  <c r="N32" i="55"/>
  <c r="L32" i="55"/>
  <c r="K32" i="55"/>
  <c r="K31" i="55"/>
  <c r="K29" i="55"/>
  <c r="O28" i="55"/>
  <c r="N28" i="55"/>
  <c r="L28" i="55"/>
  <c r="H28" i="55"/>
  <c r="K28" i="55" s="1"/>
  <c r="O27" i="55"/>
  <c r="N27" i="55"/>
  <c r="L27" i="55"/>
  <c r="H27" i="55"/>
  <c r="M27" i="55" s="1"/>
  <c r="O26" i="55"/>
  <c r="N26" i="55"/>
  <c r="L26" i="55"/>
  <c r="M26" i="55"/>
  <c r="O25" i="55"/>
  <c r="N25" i="55"/>
  <c r="M25" i="55"/>
  <c r="L25" i="55"/>
  <c r="K25" i="55"/>
  <c r="O24" i="55"/>
  <c r="N24" i="55"/>
  <c r="L24" i="55"/>
  <c r="H24" i="55"/>
  <c r="K24" i="55" s="1"/>
  <c r="K23" i="55"/>
  <c r="O22" i="55"/>
  <c r="N22" i="55"/>
  <c r="L22" i="55"/>
  <c r="H22" i="55"/>
  <c r="M22" i="55" s="1"/>
  <c r="K21" i="55"/>
  <c r="O20" i="55"/>
  <c r="N20" i="55"/>
  <c r="L20" i="55"/>
  <c r="H20" i="55"/>
  <c r="K20" i="55" s="1"/>
  <c r="H19" i="55"/>
  <c r="K19" i="55" s="1"/>
  <c r="O18" i="55"/>
  <c r="N18" i="55"/>
  <c r="L18" i="55"/>
  <c r="M18" i="55"/>
  <c r="O27" i="54"/>
  <c r="N27" i="54"/>
  <c r="L27" i="54"/>
  <c r="H27" i="54"/>
  <c r="M27" i="54" s="1"/>
  <c r="O26" i="54"/>
  <c r="N26" i="54"/>
  <c r="L26" i="54"/>
  <c r="H26" i="54"/>
  <c r="K26" i="54" s="1"/>
  <c r="O25" i="54"/>
  <c r="N25" i="54"/>
  <c r="L25" i="54"/>
  <c r="H25" i="54"/>
  <c r="M25" i="54" s="1"/>
  <c r="O24" i="54"/>
  <c r="N24" i="54"/>
  <c r="L24" i="54"/>
  <c r="H24" i="54"/>
  <c r="M24" i="54" s="1"/>
  <c r="O23" i="54"/>
  <c r="N23" i="54"/>
  <c r="L23" i="54"/>
  <c r="H23" i="54"/>
  <c r="M23" i="54" s="1"/>
  <c r="O22" i="54"/>
  <c r="N22" i="54"/>
  <c r="L22" i="54"/>
  <c r="K22" i="54"/>
  <c r="O21" i="54"/>
  <c r="N21" i="54"/>
  <c r="L21" i="54"/>
  <c r="H21" i="54"/>
  <c r="K21" i="54" s="1"/>
  <c r="O20" i="54"/>
  <c r="N20" i="54"/>
  <c r="L20" i="54"/>
  <c r="M20" i="54"/>
  <c r="O19" i="54"/>
  <c r="N19" i="54"/>
  <c r="M19" i="54"/>
  <c r="L19" i="54"/>
  <c r="K19" i="54"/>
  <c r="O18" i="54"/>
  <c r="N18" i="54"/>
  <c r="L18" i="54"/>
  <c r="K18" i="54"/>
  <c r="O17" i="54"/>
  <c r="N17" i="54"/>
  <c r="M17" i="54"/>
  <c r="P17" i="54" s="1"/>
  <c r="L17" i="54"/>
  <c r="H17" i="54"/>
  <c r="K17" i="54" s="1"/>
  <c r="O34" i="53"/>
  <c r="N34" i="53"/>
  <c r="L34" i="53"/>
  <c r="H34" i="53"/>
  <c r="O33" i="53"/>
  <c r="N33" i="53"/>
  <c r="M33" i="53"/>
  <c r="P33" i="53" s="1"/>
  <c r="L33" i="53"/>
  <c r="K33" i="53"/>
  <c r="O32" i="53"/>
  <c r="N32" i="53"/>
  <c r="L32" i="53"/>
  <c r="H32" i="53"/>
  <c r="O31" i="53"/>
  <c r="N31" i="53"/>
  <c r="L31" i="53"/>
  <c r="M31" i="53"/>
  <c r="O30" i="53"/>
  <c r="N30" i="53"/>
  <c r="L30" i="53"/>
  <c r="H30" i="53"/>
  <c r="K30" i="53" s="1"/>
  <c r="O29" i="53"/>
  <c r="N29" i="53"/>
  <c r="L29" i="53"/>
  <c r="H29" i="53"/>
  <c r="K29" i="53" s="1"/>
  <c r="O28" i="53"/>
  <c r="N28" i="53"/>
  <c r="L28" i="53"/>
  <c r="H28" i="53"/>
  <c r="O27" i="53"/>
  <c r="N27" i="53"/>
  <c r="L27" i="53"/>
  <c r="H27" i="53"/>
  <c r="M27" i="53" s="1"/>
  <c r="O26" i="53"/>
  <c r="N26" i="53"/>
  <c r="L26" i="53"/>
  <c r="H26" i="53"/>
  <c r="K26" i="53" s="1"/>
  <c r="O25" i="53"/>
  <c r="N25" i="53"/>
  <c r="L25" i="53"/>
  <c r="H25" i="53"/>
  <c r="K25" i="53" s="1"/>
  <c r="O24" i="53"/>
  <c r="N24" i="53"/>
  <c r="L24" i="53"/>
  <c r="H24" i="53"/>
  <c r="O23" i="53"/>
  <c r="N23" i="53"/>
  <c r="L23" i="53"/>
  <c r="M23" i="53"/>
  <c r="O22" i="53"/>
  <c r="N22" i="53"/>
  <c r="L22" i="53"/>
  <c r="K22" i="53"/>
  <c r="O21" i="53"/>
  <c r="N21" i="53"/>
  <c r="L21" i="53"/>
  <c r="H21" i="53"/>
  <c r="K21" i="53" s="1"/>
  <c r="O20" i="53"/>
  <c r="N20" i="53"/>
  <c r="L20" i="53"/>
  <c r="H20" i="53"/>
  <c r="K20" i="53" s="1"/>
  <c r="O19" i="53"/>
  <c r="N19" i="53"/>
  <c r="L19" i="53"/>
  <c r="H19" i="53"/>
  <c r="M19" i="53" s="1"/>
  <c r="O18" i="53"/>
  <c r="N18" i="53"/>
  <c r="L18" i="53"/>
  <c r="H18" i="53"/>
  <c r="K18" i="53" s="1"/>
  <c r="O17" i="53"/>
  <c r="N17" i="53"/>
  <c r="L17" i="53"/>
  <c r="H17" i="53"/>
  <c r="O69" i="52"/>
  <c r="N69" i="52"/>
  <c r="L69" i="52"/>
  <c r="H69" i="52"/>
  <c r="K69" i="52" s="1"/>
  <c r="O68" i="52"/>
  <c r="N68" i="52"/>
  <c r="L68" i="52"/>
  <c r="H68" i="52"/>
  <c r="K68" i="52" s="1"/>
  <c r="O67" i="52"/>
  <c r="N67" i="52"/>
  <c r="L67" i="52"/>
  <c r="H67" i="52"/>
  <c r="O66" i="52"/>
  <c r="N66" i="52"/>
  <c r="L66" i="52"/>
  <c r="H66" i="52"/>
  <c r="M66" i="52" s="1"/>
  <c r="O65" i="52"/>
  <c r="N65" i="52"/>
  <c r="L65" i="52"/>
  <c r="H65" i="52"/>
  <c r="K65" i="52" s="1"/>
  <c r="O64" i="52"/>
  <c r="N64" i="52"/>
  <c r="L64" i="52"/>
  <c r="H64" i="52"/>
  <c r="K64" i="52" s="1"/>
  <c r="O63" i="52"/>
  <c r="N63" i="52"/>
  <c r="L63" i="52"/>
  <c r="H63" i="52"/>
  <c r="O62" i="52"/>
  <c r="N62" i="52"/>
  <c r="L62" i="52"/>
  <c r="H62" i="52"/>
  <c r="M62" i="52" s="1"/>
  <c r="O61" i="52"/>
  <c r="N61" i="52"/>
  <c r="L61" i="52"/>
  <c r="H61" i="52"/>
  <c r="K61" i="52" s="1"/>
  <c r="O60" i="52"/>
  <c r="N60" i="52"/>
  <c r="L60" i="52"/>
  <c r="H60" i="52"/>
  <c r="K60" i="52" s="1"/>
  <c r="O59" i="52"/>
  <c r="N59" i="52"/>
  <c r="L59" i="52"/>
  <c r="H59" i="52"/>
  <c r="O58" i="52"/>
  <c r="N58" i="52"/>
  <c r="L58" i="52"/>
  <c r="H58" i="52"/>
  <c r="M58" i="52" s="1"/>
  <c r="O57" i="52"/>
  <c r="N57" i="52"/>
  <c r="L57" i="52"/>
  <c r="H57" i="52"/>
  <c r="K57" i="52" s="1"/>
  <c r="O56" i="52"/>
  <c r="N56" i="52"/>
  <c r="L56" i="52"/>
  <c r="H56" i="52"/>
  <c r="K56" i="52" s="1"/>
  <c r="O55" i="52"/>
  <c r="N55" i="52"/>
  <c r="L55" i="52"/>
  <c r="H55" i="52"/>
  <c r="O54" i="52"/>
  <c r="N54" i="52"/>
  <c r="L54" i="52"/>
  <c r="H54" i="52"/>
  <c r="M54" i="52" s="1"/>
  <c r="O53" i="52"/>
  <c r="N53" i="52"/>
  <c r="L53" i="52"/>
  <c r="H53" i="52"/>
  <c r="K53" i="52" s="1"/>
  <c r="O52" i="52"/>
  <c r="N52" i="52"/>
  <c r="L52" i="52"/>
  <c r="H52" i="52"/>
  <c r="K52" i="52" s="1"/>
  <c r="O51" i="52"/>
  <c r="N51" i="52"/>
  <c r="L51" i="52"/>
  <c r="H51" i="52"/>
  <c r="O50" i="52"/>
  <c r="N50" i="52"/>
  <c r="L50" i="52"/>
  <c r="H50" i="52"/>
  <c r="M50" i="52" s="1"/>
  <c r="O49" i="52"/>
  <c r="N49" i="52"/>
  <c r="L49" i="52"/>
  <c r="H49" i="52"/>
  <c r="K49" i="52" s="1"/>
  <c r="O48" i="52"/>
  <c r="N48" i="52"/>
  <c r="L48" i="52"/>
  <c r="H48" i="52"/>
  <c r="K48" i="52" s="1"/>
  <c r="O47" i="52"/>
  <c r="N47" i="52"/>
  <c r="L47" i="52"/>
  <c r="H47" i="52"/>
  <c r="O46" i="52"/>
  <c r="N46" i="52"/>
  <c r="L46" i="52"/>
  <c r="H46" i="52"/>
  <c r="M46" i="52" s="1"/>
  <c r="O45" i="52"/>
  <c r="N45" i="52"/>
  <c r="L45" i="52"/>
  <c r="H45" i="52"/>
  <c r="K45" i="52" s="1"/>
  <c r="O44" i="52"/>
  <c r="N44" i="52"/>
  <c r="L44" i="52"/>
  <c r="H44" i="52"/>
  <c r="K44" i="52" s="1"/>
  <c r="O43" i="52"/>
  <c r="N43" i="52"/>
  <c r="L43" i="52"/>
  <c r="H43" i="52"/>
  <c r="O42" i="52"/>
  <c r="N42" i="52"/>
  <c r="L42" i="52"/>
  <c r="H42" i="52"/>
  <c r="M42" i="52" s="1"/>
  <c r="O41" i="52"/>
  <c r="N41" i="52"/>
  <c r="L41" i="52"/>
  <c r="H41" i="52"/>
  <c r="K41" i="52" s="1"/>
  <c r="O40" i="52"/>
  <c r="N40" i="52"/>
  <c r="L40" i="52"/>
  <c r="H40" i="52"/>
  <c r="K40" i="52" s="1"/>
  <c r="O39" i="52"/>
  <c r="N39" i="52"/>
  <c r="L39" i="52"/>
  <c r="H39" i="52"/>
  <c r="O38" i="52"/>
  <c r="N38" i="52"/>
  <c r="L38" i="52"/>
  <c r="H38" i="52"/>
  <c r="M38" i="52" s="1"/>
  <c r="O37" i="52"/>
  <c r="N37" i="52"/>
  <c r="L37" i="52"/>
  <c r="H37" i="52"/>
  <c r="K37" i="52" s="1"/>
  <c r="O36" i="52"/>
  <c r="N36" i="52"/>
  <c r="L36" i="52"/>
  <c r="H36" i="52"/>
  <c r="K36" i="52" s="1"/>
  <c r="O35" i="52"/>
  <c r="N35" i="52"/>
  <c r="L35" i="52"/>
  <c r="H35" i="52"/>
  <c r="O34" i="52"/>
  <c r="N34" i="52"/>
  <c r="L34" i="52"/>
  <c r="H34" i="52"/>
  <c r="M34" i="52" s="1"/>
  <c r="O33" i="52"/>
  <c r="N33" i="52"/>
  <c r="L33" i="52"/>
  <c r="H33" i="52"/>
  <c r="K33" i="52" s="1"/>
  <c r="O32" i="52"/>
  <c r="N32" i="52"/>
  <c r="L32" i="52"/>
  <c r="H32" i="52"/>
  <c r="K32" i="52" s="1"/>
  <c r="O31" i="52"/>
  <c r="N31" i="52"/>
  <c r="L31" i="52"/>
  <c r="H31" i="52"/>
  <c r="O30" i="52"/>
  <c r="N30" i="52"/>
  <c r="L30" i="52"/>
  <c r="H30" i="52"/>
  <c r="M30" i="52" s="1"/>
  <c r="O29" i="52"/>
  <c r="N29" i="52"/>
  <c r="L29" i="52"/>
  <c r="H29" i="52"/>
  <c r="K29" i="52" s="1"/>
  <c r="O28" i="52"/>
  <c r="N28" i="52"/>
  <c r="L28" i="52"/>
  <c r="H28" i="52"/>
  <c r="K28" i="52" s="1"/>
  <c r="O27" i="52"/>
  <c r="N27" i="52"/>
  <c r="L27" i="52"/>
  <c r="H27" i="52"/>
  <c r="O26" i="52"/>
  <c r="N26" i="52"/>
  <c r="L26" i="52"/>
  <c r="H26" i="52"/>
  <c r="M26" i="52" s="1"/>
  <c r="O25" i="52"/>
  <c r="N25" i="52"/>
  <c r="L25" i="52"/>
  <c r="H25" i="52"/>
  <c r="K25" i="52" s="1"/>
  <c r="O24" i="52"/>
  <c r="N24" i="52"/>
  <c r="L24" i="52"/>
  <c r="H24" i="52"/>
  <c r="K24" i="52" s="1"/>
  <c r="O23" i="52"/>
  <c r="N23" i="52"/>
  <c r="L23" i="52"/>
  <c r="H23" i="52"/>
  <c r="O22" i="52"/>
  <c r="N22" i="52"/>
  <c r="L22" i="52"/>
  <c r="H22" i="52"/>
  <c r="M22" i="52" s="1"/>
  <c r="O21" i="52"/>
  <c r="N21" i="52"/>
  <c r="L21" i="52"/>
  <c r="H21" i="52"/>
  <c r="O20" i="52"/>
  <c r="N20" i="52"/>
  <c r="L20" i="52"/>
  <c r="H20" i="52"/>
  <c r="K20" i="52" s="1"/>
  <c r="O19" i="52"/>
  <c r="N19" i="52"/>
  <c r="L19" i="52"/>
  <c r="H19" i="52"/>
  <c r="O18" i="52"/>
  <c r="N18" i="52"/>
  <c r="L18" i="52"/>
  <c r="H18" i="52"/>
  <c r="M18" i="52" s="1"/>
  <c r="O17" i="52"/>
  <c r="N17" i="52"/>
  <c r="L17" i="52"/>
  <c r="H17" i="52"/>
  <c r="O224" i="31"/>
  <c r="N224" i="31"/>
  <c r="L224" i="31"/>
  <c r="H224" i="31"/>
  <c r="O223" i="31"/>
  <c r="N223" i="31"/>
  <c r="L223" i="31"/>
  <c r="H223" i="31"/>
  <c r="K223" i="31" s="1"/>
  <c r="O222" i="31"/>
  <c r="N222" i="31"/>
  <c r="L222" i="31"/>
  <c r="H222" i="31"/>
  <c r="O221" i="31"/>
  <c r="N221" i="31"/>
  <c r="L221" i="31"/>
  <c r="O220" i="31"/>
  <c r="N220" i="31"/>
  <c r="L220" i="31"/>
  <c r="O219" i="31"/>
  <c r="N219" i="31"/>
  <c r="L219" i="31"/>
  <c r="K219" i="31"/>
  <c r="O218" i="31"/>
  <c r="N218" i="31"/>
  <c r="L218" i="31"/>
  <c r="O217" i="31"/>
  <c r="N217" i="31"/>
  <c r="L217" i="31"/>
  <c r="H217" i="31"/>
  <c r="O216" i="31"/>
  <c r="N216" i="31"/>
  <c r="L216" i="31"/>
  <c r="O215" i="31"/>
  <c r="N215" i="31"/>
  <c r="L215" i="31"/>
  <c r="H215" i="31"/>
  <c r="K215" i="31" s="1"/>
  <c r="O214" i="31"/>
  <c r="N214" i="31"/>
  <c r="L214" i="31"/>
  <c r="H214" i="31"/>
  <c r="O213" i="31"/>
  <c r="N213" i="31"/>
  <c r="L213" i="31"/>
  <c r="H213" i="31"/>
  <c r="O212" i="31"/>
  <c r="N212" i="31"/>
  <c r="L212" i="31"/>
  <c r="H212" i="31"/>
  <c r="O211" i="31"/>
  <c r="N211" i="31"/>
  <c r="L211" i="31"/>
  <c r="H211" i="31"/>
  <c r="K211" i="31" s="1"/>
  <c r="O210" i="31"/>
  <c r="N210" i="31"/>
  <c r="L210" i="31"/>
  <c r="H210" i="31"/>
  <c r="O209" i="31"/>
  <c r="N209" i="31"/>
  <c r="L209" i="31"/>
  <c r="H209" i="31"/>
  <c r="O208" i="31"/>
  <c r="N208" i="31"/>
  <c r="L208" i="31"/>
  <c r="H208" i="31"/>
  <c r="O207" i="31"/>
  <c r="N207" i="31"/>
  <c r="L207" i="31"/>
  <c r="H207" i="31"/>
  <c r="K207" i="31" s="1"/>
  <c r="O206" i="31"/>
  <c r="N206" i="31"/>
  <c r="L206" i="31"/>
  <c r="H206" i="31"/>
  <c r="O205" i="31"/>
  <c r="N205" i="31"/>
  <c r="L205" i="31"/>
  <c r="H205" i="31"/>
  <c r="O204" i="31"/>
  <c r="N204" i="31"/>
  <c r="L204" i="31"/>
  <c r="O203" i="31"/>
  <c r="N203" i="31"/>
  <c r="L203" i="31"/>
  <c r="K203" i="31"/>
  <c r="O202" i="31"/>
  <c r="N202" i="31"/>
  <c r="L202" i="31"/>
  <c r="O201" i="31"/>
  <c r="N201" i="31"/>
  <c r="L201" i="31"/>
  <c r="H201" i="31"/>
  <c r="O200" i="31"/>
  <c r="N200" i="31"/>
  <c r="L200" i="31"/>
  <c r="H200" i="31"/>
  <c r="O199" i="31"/>
  <c r="N199" i="31"/>
  <c r="L199" i="31"/>
  <c r="H199" i="31"/>
  <c r="K199" i="31" s="1"/>
  <c r="O198" i="31"/>
  <c r="N198" i="31"/>
  <c r="L198" i="31"/>
  <c r="H198" i="31"/>
  <c r="O197" i="31"/>
  <c r="N197" i="31"/>
  <c r="L197" i="31"/>
  <c r="O196" i="31"/>
  <c r="N196" i="31"/>
  <c r="L196" i="31"/>
  <c r="H196" i="31"/>
  <c r="O195" i="31"/>
  <c r="N195" i="31"/>
  <c r="L195" i="31"/>
  <c r="H195" i="31"/>
  <c r="O194" i="31"/>
  <c r="N194" i="31"/>
  <c r="L194" i="31"/>
  <c r="H194" i="31"/>
  <c r="O193" i="31"/>
  <c r="N193" i="31"/>
  <c r="L193" i="31"/>
  <c r="H193" i="31"/>
  <c r="O192" i="31"/>
  <c r="N192" i="31"/>
  <c r="L192" i="31"/>
  <c r="H192" i="31"/>
  <c r="O191" i="31"/>
  <c r="N191" i="31"/>
  <c r="L191" i="31"/>
  <c r="H191" i="31"/>
  <c r="O190" i="31"/>
  <c r="N190" i="31"/>
  <c r="L190" i="31"/>
  <c r="H190" i="31"/>
  <c r="O189" i="31"/>
  <c r="N189" i="31"/>
  <c r="L189" i="31"/>
  <c r="O188" i="31"/>
  <c r="N188" i="31"/>
  <c r="L188" i="31"/>
  <c r="H188" i="31"/>
  <c r="O187" i="31"/>
  <c r="N187" i="31"/>
  <c r="L187" i="31"/>
  <c r="H187" i="31"/>
  <c r="O186" i="31"/>
  <c r="N186" i="31"/>
  <c r="L186" i="31"/>
  <c r="H186" i="31"/>
  <c r="O185" i="31"/>
  <c r="N185" i="31"/>
  <c r="L185" i="31"/>
  <c r="H185" i="31"/>
  <c r="O184" i="31"/>
  <c r="N184" i="31"/>
  <c r="L184" i="31"/>
  <c r="H184" i="31"/>
  <c r="O183" i="31"/>
  <c r="N183" i="31"/>
  <c r="L183" i="31"/>
  <c r="H183" i="31"/>
  <c r="O182" i="31"/>
  <c r="N182" i="31"/>
  <c r="L182" i="31"/>
  <c r="H182" i="31"/>
  <c r="O181" i="31"/>
  <c r="N181" i="31"/>
  <c r="L181" i="31"/>
  <c r="H181" i="31"/>
  <c r="O180" i="31"/>
  <c r="N180" i="31"/>
  <c r="L180" i="31"/>
  <c r="H180" i="31"/>
  <c r="O179" i="31"/>
  <c r="N179" i="31"/>
  <c r="L179" i="31"/>
  <c r="H179" i="31"/>
  <c r="O178" i="31"/>
  <c r="N178" i="31"/>
  <c r="H178" i="31"/>
  <c r="O177" i="31"/>
  <c r="N177" i="31"/>
  <c r="L177" i="31"/>
  <c r="H177" i="31"/>
  <c r="O176" i="31"/>
  <c r="N176" i="31"/>
  <c r="L176" i="31"/>
  <c r="H176" i="31"/>
  <c r="O175" i="31"/>
  <c r="N175" i="31"/>
  <c r="L175" i="31"/>
  <c r="H175" i="31"/>
  <c r="O174" i="31"/>
  <c r="N174" i="31"/>
  <c r="L174" i="31"/>
  <c r="H174" i="31"/>
  <c r="O173" i="31"/>
  <c r="N173" i="31"/>
  <c r="L173" i="31"/>
  <c r="H173" i="31"/>
  <c r="O172" i="31"/>
  <c r="N172" i="31"/>
  <c r="L172" i="31"/>
  <c r="H172" i="31"/>
  <c r="O171" i="31"/>
  <c r="N171" i="31"/>
  <c r="L171" i="31"/>
  <c r="H171" i="31"/>
  <c r="O170" i="31"/>
  <c r="N170" i="31"/>
  <c r="L170" i="31"/>
  <c r="H170" i="31"/>
  <c r="O169" i="31"/>
  <c r="N169" i="31"/>
  <c r="L169" i="31"/>
  <c r="H169" i="31"/>
  <c r="O168" i="31"/>
  <c r="N168" i="31"/>
  <c r="L168" i="31"/>
  <c r="H168" i="31"/>
  <c r="O167" i="31"/>
  <c r="N167" i="31"/>
  <c r="L167" i="31"/>
  <c r="H167" i="31"/>
  <c r="O166" i="31"/>
  <c r="N166" i="31"/>
  <c r="L166" i="31"/>
  <c r="H166" i="31"/>
  <c r="O165" i="31"/>
  <c r="N165" i="31"/>
  <c r="L165" i="31"/>
  <c r="H165" i="31"/>
  <c r="O164" i="31"/>
  <c r="N164" i="31"/>
  <c r="L164" i="31"/>
  <c r="H164" i="31"/>
  <c r="K164" i="31" s="1"/>
  <c r="O163" i="31"/>
  <c r="N163" i="31"/>
  <c r="L163" i="31"/>
  <c r="H163" i="31"/>
  <c r="O162" i="31"/>
  <c r="N162" i="31"/>
  <c r="L162" i="31"/>
  <c r="H162" i="31"/>
  <c r="M162" i="31" s="1"/>
  <c r="O161" i="31"/>
  <c r="N161" i="31"/>
  <c r="L161" i="31"/>
  <c r="H161" i="31"/>
  <c r="O160" i="31"/>
  <c r="N160" i="31"/>
  <c r="L160" i="31"/>
  <c r="M160" i="31"/>
  <c r="O159" i="31"/>
  <c r="N159" i="31"/>
  <c r="L159" i="31"/>
  <c r="K159" i="31"/>
  <c r="M159" i="31"/>
  <c r="O158" i="31"/>
  <c r="N158" i="31"/>
  <c r="M158" i="31"/>
  <c r="L158" i="31"/>
  <c r="K158" i="31"/>
  <c r="O157" i="31"/>
  <c r="N157" i="31"/>
  <c r="L157" i="31"/>
  <c r="K157" i="31"/>
  <c r="O156" i="31"/>
  <c r="N156" i="31"/>
  <c r="M156" i="31"/>
  <c r="L156" i="31"/>
  <c r="K156" i="31"/>
  <c r="O155" i="31"/>
  <c r="N155" i="31"/>
  <c r="L155" i="31"/>
  <c r="H155" i="31"/>
  <c r="M155" i="31" s="1"/>
  <c r="O154" i="31"/>
  <c r="N154" i="31"/>
  <c r="L154" i="31"/>
  <c r="H154" i="31"/>
  <c r="M154" i="31" s="1"/>
  <c r="O153" i="31"/>
  <c r="N153" i="31"/>
  <c r="L153" i="31"/>
  <c r="H153" i="31"/>
  <c r="K153" i="31" s="1"/>
  <c r="O152" i="31"/>
  <c r="N152" i="31"/>
  <c r="M152" i="31"/>
  <c r="L152" i="31"/>
  <c r="H152" i="31"/>
  <c r="K152" i="31" s="1"/>
  <c r="O151" i="31"/>
  <c r="N151" i="31"/>
  <c r="L151" i="31"/>
  <c r="H151" i="31"/>
  <c r="O150" i="31"/>
  <c r="N150" i="31"/>
  <c r="L150" i="31"/>
  <c r="H150" i="31"/>
  <c r="M150" i="31" s="1"/>
  <c r="O149" i="31"/>
  <c r="N149" i="31"/>
  <c r="L149" i="31"/>
  <c r="H149" i="31"/>
  <c r="O148" i="31"/>
  <c r="N148" i="31"/>
  <c r="L148" i="31"/>
  <c r="H148" i="31"/>
  <c r="M148" i="31" s="1"/>
  <c r="O147" i="31"/>
  <c r="N147" i="31"/>
  <c r="L147" i="31"/>
  <c r="H147" i="31"/>
  <c r="M147" i="31" s="1"/>
  <c r="O146" i="31"/>
  <c r="N146" i="31"/>
  <c r="L146" i="31"/>
  <c r="H146" i="31"/>
  <c r="M146" i="31" s="1"/>
  <c r="O145" i="31"/>
  <c r="N145" i="31"/>
  <c r="L145" i="31"/>
  <c r="H145" i="31"/>
  <c r="O144" i="31"/>
  <c r="N144" i="31"/>
  <c r="L144" i="31"/>
  <c r="H144" i="31"/>
  <c r="M144" i="31" s="1"/>
  <c r="O143" i="31"/>
  <c r="N143" i="31"/>
  <c r="L143" i="31"/>
  <c r="H143" i="31"/>
  <c r="M143" i="31" s="1"/>
  <c r="O142" i="31"/>
  <c r="N142" i="31"/>
  <c r="L142" i="31"/>
  <c r="H142" i="31"/>
  <c r="K142" i="31" s="1"/>
  <c r="O141" i="31"/>
  <c r="N141" i="31"/>
  <c r="L141" i="31"/>
  <c r="H141" i="31"/>
  <c r="K141" i="31" s="1"/>
  <c r="O140" i="31"/>
  <c r="N140" i="31"/>
  <c r="L140" i="31"/>
  <c r="H140" i="31"/>
  <c r="K140" i="31" s="1"/>
  <c r="O139" i="31"/>
  <c r="N139" i="31"/>
  <c r="L139" i="31"/>
  <c r="H139" i="31"/>
  <c r="M139" i="31" s="1"/>
  <c r="O138" i="31"/>
  <c r="N138" i="31"/>
  <c r="L138" i="31"/>
  <c r="H138" i="31"/>
  <c r="M138" i="31" s="1"/>
  <c r="O137" i="31"/>
  <c r="N137" i="31"/>
  <c r="L137" i="31"/>
  <c r="H137" i="31"/>
  <c r="K137" i="31" s="1"/>
  <c r="O136" i="31"/>
  <c r="N136" i="31"/>
  <c r="L136" i="31"/>
  <c r="H136" i="31"/>
  <c r="K136" i="31" s="1"/>
  <c r="O135" i="31"/>
  <c r="N135" i="31"/>
  <c r="L135" i="31"/>
  <c r="H135" i="31"/>
  <c r="O134" i="31"/>
  <c r="N134" i="31"/>
  <c r="L134" i="31"/>
  <c r="H134" i="31"/>
  <c r="M134" i="31" s="1"/>
  <c r="O133" i="31"/>
  <c r="N133" i="31"/>
  <c r="L133" i="31"/>
  <c r="H133" i="31"/>
  <c r="O132" i="31"/>
  <c r="N132" i="31"/>
  <c r="L132" i="31"/>
  <c r="H132" i="31"/>
  <c r="M132" i="31" s="1"/>
  <c r="P132" i="31" s="1"/>
  <c r="O131" i="31"/>
  <c r="N131" i="31"/>
  <c r="L131" i="31"/>
  <c r="M131" i="31"/>
  <c r="O130" i="31"/>
  <c r="N130" i="31"/>
  <c r="L130" i="31"/>
  <c r="H130" i="31"/>
  <c r="M130" i="31" s="1"/>
  <c r="O129" i="31"/>
  <c r="N129" i="31"/>
  <c r="L129" i="31"/>
  <c r="H129" i="31"/>
  <c r="O128" i="31"/>
  <c r="N128" i="31"/>
  <c r="L128" i="31"/>
  <c r="H128" i="31"/>
  <c r="M128" i="31" s="1"/>
  <c r="O127" i="31"/>
  <c r="N127" i="31"/>
  <c r="L127" i="31"/>
  <c r="H127" i="31"/>
  <c r="M127" i="31" s="1"/>
  <c r="O126" i="31"/>
  <c r="N126" i="31"/>
  <c r="L126" i="31"/>
  <c r="H126" i="31"/>
  <c r="K126" i="31" s="1"/>
  <c r="O125" i="31"/>
  <c r="N125" i="31"/>
  <c r="L125" i="31"/>
  <c r="K125" i="31"/>
  <c r="O124" i="31"/>
  <c r="N124" i="31"/>
  <c r="M124" i="31"/>
  <c r="L124" i="31"/>
  <c r="K124" i="31"/>
  <c r="O123" i="31"/>
  <c r="N123" i="31"/>
  <c r="L123" i="31"/>
  <c r="H123" i="31"/>
  <c r="M123" i="31" s="1"/>
  <c r="O122" i="31"/>
  <c r="N122" i="31"/>
  <c r="L122" i="31"/>
  <c r="H122" i="31"/>
  <c r="M122" i="31" s="1"/>
  <c r="O121" i="31"/>
  <c r="N121" i="31"/>
  <c r="L121" i="31"/>
  <c r="H121" i="31"/>
  <c r="K121" i="31" s="1"/>
  <c r="O120" i="31"/>
  <c r="N120" i="31"/>
  <c r="M120" i="31"/>
  <c r="L120" i="31"/>
  <c r="K120" i="31"/>
  <c r="O119" i="31"/>
  <c r="N119" i="31"/>
  <c r="L119" i="31"/>
  <c r="O118" i="31"/>
  <c r="N118" i="31"/>
  <c r="L118" i="31"/>
  <c r="H118" i="31"/>
  <c r="M118" i="31" s="1"/>
  <c r="O117" i="31"/>
  <c r="N117" i="31"/>
  <c r="L117" i="31"/>
  <c r="H117" i="31"/>
  <c r="O116" i="31"/>
  <c r="N116" i="31"/>
  <c r="L116" i="31"/>
  <c r="H116" i="31"/>
  <c r="M116" i="31" s="1"/>
  <c r="O115" i="31"/>
  <c r="N115" i="31"/>
  <c r="L115" i="31"/>
  <c r="H115" i="31"/>
  <c r="M115" i="31" s="1"/>
  <c r="O114" i="31"/>
  <c r="N114" i="31"/>
  <c r="L114" i="31"/>
  <c r="H114" i="31"/>
  <c r="M114" i="31" s="1"/>
  <c r="O113" i="31"/>
  <c r="N113" i="31"/>
  <c r="L113" i="31"/>
  <c r="H113" i="31"/>
  <c r="O112" i="31"/>
  <c r="N112" i="31"/>
  <c r="L112" i="31"/>
  <c r="M112" i="31"/>
  <c r="O111" i="31"/>
  <c r="N111" i="31"/>
  <c r="L111" i="31"/>
  <c r="H111" i="31"/>
  <c r="M111" i="31" s="1"/>
  <c r="O110" i="31"/>
  <c r="N110" i="31"/>
  <c r="L110" i="31"/>
  <c r="H110" i="31"/>
  <c r="M110" i="31" s="1"/>
  <c r="O109" i="31"/>
  <c r="N109" i="31"/>
  <c r="L109" i="31"/>
  <c r="H109" i="31"/>
  <c r="K109" i="31" s="1"/>
  <c r="O108" i="31"/>
  <c r="N108" i="31"/>
  <c r="L108" i="31"/>
  <c r="H108" i="31"/>
  <c r="M108" i="31" s="1"/>
  <c r="P108" i="31" s="1"/>
  <c r="O107" i="31"/>
  <c r="N107" i="31"/>
  <c r="L107" i="31"/>
  <c r="H107" i="31"/>
  <c r="M107" i="31" s="1"/>
  <c r="P107" i="31" s="1"/>
  <c r="O106" i="31"/>
  <c r="N106" i="31"/>
  <c r="L106" i="31"/>
  <c r="H106" i="31"/>
  <c r="M106" i="31" s="1"/>
  <c r="O105" i="31"/>
  <c r="N105" i="31"/>
  <c r="L105" i="31"/>
  <c r="H105" i="31"/>
  <c r="K105" i="31" s="1"/>
  <c r="O104" i="31"/>
  <c r="N104" i="31"/>
  <c r="L104" i="31"/>
  <c r="M104" i="31"/>
  <c r="P104" i="31" s="1"/>
  <c r="O103" i="31"/>
  <c r="N103" i="31"/>
  <c r="L103" i="31"/>
  <c r="H103" i="31"/>
  <c r="M103" i="31" s="1"/>
  <c r="O102" i="31"/>
  <c r="N102" i="31"/>
  <c r="L102" i="31"/>
  <c r="M102" i="31"/>
  <c r="O101" i="31"/>
  <c r="N101" i="31"/>
  <c r="L101" i="31"/>
  <c r="K101" i="31"/>
  <c r="O100" i="31"/>
  <c r="N100" i="31"/>
  <c r="L100" i="31"/>
  <c r="H100" i="31"/>
  <c r="K100" i="31" s="1"/>
  <c r="O99" i="31"/>
  <c r="N99" i="31"/>
  <c r="L99" i="31"/>
  <c r="H99" i="31"/>
  <c r="M99" i="31" s="1"/>
  <c r="P99" i="31" s="1"/>
  <c r="O98" i="31"/>
  <c r="N98" i="31"/>
  <c r="L98" i="31"/>
  <c r="H98" i="31"/>
  <c r="M98" i="31" s="1"/>
  <c r="O97" i="31"/>
  <c r="N97" i="31"/>
  <c r="L97" i="31"/>
  <c r="K97" i="31"/>
  <c r="O96" i="31"/>
  <c r="N96" i="31"/>
  <c r="L96" i="31"/>
  <c r="M96" i="31"/>
  <c r="O95" i="31"/>
  <c r="N95" i="31"/>
  <c r="L95" i="31"/>
  <c r="M95" i="31"/>
  <c r="O94" i="31"/>
  <c r="N94" i="31"/>
  <c r="L94" i="31"/>
  <c r="H94" i="31"/>
  <c r="M94" i="31" s="1"/>
  <c r="O93" i="31"/>
  <c r="N93" i="31"/>
  <c r="L93" i="31"/>
  <c r="H93" i="31"/>
  <c r="K93" i="31" s="1"/>
  <c r="O92" i="31"/>
  <c r="N92" i="31"/>
  <c r="L92" i="31"/>
  <c r="H92" i="31"/>
  <c r="M92" i="31" s="1"/>
  <c r="O91" i="31"/>
  <c r="N91" i="31"/>
  <c r="L91" i="31"/>
  <c r="H91" i="31"/>
  <c r="M91" i="31" s="1"/>
  <c r="O90" i="31"/>
  <c r="N90" i="31"/>
  <c r="L90" i="31"/>
  <c r="H90" i="31"/>
  <c r="M90" i="31" s="1"/>
  <c r="O89" i="31"/>
  <c r="N89" i="31"/>
  <c r="L89" i="31"/>
  <c r="H89" i="31"/>
  <c r="K89" i="31" s="1"/>
  <c r="O88" i="31"/>
  <c r="N88" i="31"/>
  <c r="M88" i="31"/>
  <c r="L88" i="31"/>
  <c r="K88" i="31"/>
  <c r="O87" i="31"/>
  <c r="N87" i="31"/>
  <c r="L87" i="31"/>
  <c r="M87" i="31"/>
  <c r="O86" i="31"/>
  <c r="N86" i="31"/>
  <c r="L86" i="31"/>
  <c r="M86" i="31"/>
  <c r="O85" i="31"/>
  <c r="N85" i="31"/>
  <c r="L85" i="31"/>
  <c r="K85" i="31"/>
  <c r="O84" i="31"/>
  <c r="N84" i="31"/>
  <c r="L84" i="31"/>
  <c r="H84" i="31"/>
  <c r="M84" i="31" s="1"/>
  <c r="O83" i="31"/>
  <c r="N83" i="31"/>
  <c r="L83" i="31"/>
  <c r="H83" i="31"/>
  <c r="M83" i="31" s="1"/>
  <c r="O82" i="31"/>
  <c r="N82" i="31"/>
  <c r="L82" i="31"/>
  <c r="M82" i="31"/>
  <c r="O81" i="31"/>
  <c r="N81" i="31"/>
  <c r="L81" i="31"/>
  <c r="K81" i="31"/>
  <c r="O80" i="31"/>
  <c r="N80" i="31"/>
  <c r="M80" i="31"/>
  <c r="L80" i="31"/>
  <c r="K80" i="31"/>
  <c r="O79" i="31"/>
  <c r="N79" i="31"/>
  <c r="L79" i="31"/>
  <c r="M79" i="31"/>
  <c r="O78" i="31"/>
  <c r="N78" i="31"/>
  <c r="L78" i="31"/>
  <c r="H78" i="31"/>
  <c r="M78" i="31" s="1"/>
  <c r="O77" i="31"/>
  <c r="N77" i="31"/>
  <c r="M77" i="31"/>
  <c r="P77" i="31" s="1"/>
  <c r="L77" i="31"/>
  <c r="K77" i="31"/>
  <c r="O76" i="31"/>
  <c r="N76" i="31"/>
  <c r="L76" i="31"/>
  <c r="K76" i="31"/>
  <c r="M76" i="31"/>
  <c r="O75" i="31"/>
  <c r="N75" i="31"/>
  <c r="L75" i="31"/>
  <c r="K75" i="31"/>
  <c r="M75" i="31"/>
  <c r="O74" i="31"/>
  <c r="N74" i="31"/>
  <c r="L74" i="31"/>
  <c r="H74" i="31"/>
  <c r="M74" i="31" s="1"/>
  <c r="O73" i="31"/>
  <c r="N73" i="31"/>
  <c r="L73" i="31"/>
  <c r="H73" i="31"/>
  <c r="K73" i="31" s="1"/>
  <c r="O72" i="31"/>
  <c r="N72" i="31"/>
  <c r="L72" i="31"/>
  <c r="H72" i="31"/>
  <c r="M72" i="31" s="1"/>
  <c r="O71" i="31"/>
  <c r="N71" i="31"/>
  <c r="L71" i="31"/>
  <c r="H71" i="31"/>
  <c r="M71" i="31" s="1"/>
  <c r="O70" i="31"/>
  <c r="N70" i="31"/>
  <c r="L70" i="31"/>
  <c r="M70" i="31"/>
  <c r="O69" i="31"/>
  <c r="N69" i="31"/>
  <c r="L69" i="31"/>
  <c r="H69" i="31"/>
  <c r="K69" i="31" s="1"/>
  <c r="O68" i="31"/>
  <c r="N68" i="31"/>
  <c r="L68" i="31"/>
  <c r="H68" i="31"/>
  <c r="M68" i="31" s="1"/>
  <c r="O67" i="31"/>
  <c r="N67" i="31"/>
  <c r="L67" i="31"/>
  <c r="H67" i="31"/>
  <c r="M67" i="31" s="1"/>
  <c r="O66" i="31"/>
  <c r="N66" i="31"/>
  <c r="L66" i="31"/>
  <c r="H66" i="31"/>
  <c r="M66" i="31" s="1"/>
  <c r="O65" i="31"/>
  <c r="N65" i="31"/>
  <c r="L65" i="31"/>
  <c r="H65" i="31"/>
  <c r="K65" i="31" s="1"/>
  <c r="O64" i="31"/>
  <c r="N64" i="31"/>
  <c r="L64" i="31"/>
  <c r="H64" i="31"/>
  <c r="M64" i="31" s="1"/>
  <c r="O63" i="31"/>
  <c r="N63" i="31"/>
  <c r="H63" i="31"/>
  <c r="M63" i="31" s="1"/>
  <c r="O62" i="31"/>
  <c r="N62" i="31"/>
  <c r="L62" i="31"/>
  <c r="H62" i="31"/>
  <c r="M62" i="31" s="1"/>
  <c r="O61" i="31"/>
  <c r="N61" i="31"/>
  <c r="L61" i="31"/>
  <c r="O60" i="31"/>
  <c r="N60" i="31"/>
  <c r="L60" i="31"/>
  <c r="M60" i="31"/>
  <c r="O59" i="31"/>
  <c r="N59" i="31"/>
  <c r="L59" i="31"/>
  <c r="H59" i="31"/>
  <c r="M59" i="31" s="1"/>
  <c r="O58" i="31"/>
  <c r="N58" i="31"/>
  <c r="L58" i="31"/>
  <c r="O57" i="31"/>
  <c r="N57" i="31"/>
  <c r="L57" i="31"/>
  <c r="H57" i="31"/>
  <c r="K57" i="31" s="1"/>
  <c r="O56" i="31"/>
  <c r="N56" i="31"/>
  <c r="L56" i="31"/>
  <c r="H56" i="31"/>
  <c r="M56" i="31" s="1"/>
  <c r="O55" i="31"/>
  <c r="N55" i="31"/>
  <c r="L55" i="31"/>
  <c r="H55" i="31"/>
  <c r="M55" i="31" s="1"/>
  <c r="O54" i="31"/>
  <c r="N54" i="31"/>
  <c r="L54" i="31"/>
  <c r="H54" i="31"/>
  <c r="M54" i="31" s="1"/>
  <c r="O53" i="31"/>
  <c r="N53" i="31"/>
  <c r="L53" i="31"/>
  <c r="H53" i="31"/>
  <c r="K53" i="31" s="1"/>
  <c r="O52" i="31"/>
  <c r="N52" i="31"/>
  <c r="L52" i="31"/>
  <c r="H52" i="31"/>
  <c r="M52" i="31" s="1"/>
  <c r="P51" i="31"/>
  <c r="O51" i="31"/>
  <c r="N51" i="31"/>
  <c r="L51" i="31"/>
  <c r="K51" i="31"/>
  <c r="H51" i="31"/>
  <c r="M51" i="31" s="1"/>
  <c r="O50" i="31"/>
  <c r="N50" i="31"/>
  <c r="L50" i="31"/>
  <c r="H50" i="31"/>
  <c r="M50" i="31" s="1"/>
  <c r="O49" i="31"/>
  <c r="N49" i="31"/>
  <c r="L49" i="31"/>
  <c r="H49" i="31"/>
  <c r="K49" i="31" s="1"/>
  <c r="O48" i="31"/>
  <c r="N48" i="31"/>
  <c r="L48" i="31"/>
  <c r="H48" i="31"/>
  <c r="M48" i="31" s="1"/>
  <c r="O47" i="31"/>
  <c r="N47" i="31"/>
  <c r="L47" i="31"/>
  <c r="H47" i="31"/>
  <c r="M47" i="31" s="1"/>
  <c r="O46" i="31"/>
  <c r="N46" i="31"/>
  <c r="L46" i="31"/>
  <c r="H46" i="31"/>
  <c r="K46" i="31" s="1"/>
  <c r="O45" i="31"/>
  <c r="N45" i="31"/>
  <c r="L45" i="31"/>
  <c r="H45" i="31"/>
  <c r="K45" i="31" s="1"/>
  <c r="O44" i="31"/>
  <c r="N44" i="31"/>
  <c r="L44" i="31"/>
  <c r="H44" i="31"/>
  <c r="K44" i="31" s="1"/>
  <c r="O43" i="31"/>
  <c r="N43" i="31"/>
  <c r="L43" i="31"/>
  <c r="H43" i="31"/>
  <c r="K43" i="31" s="1"/>
  <c r="O42" i="31"/>
  <c r="N42" i="31"/>
  <c r="L42" i="31"/>
  <c r="H42" i="31"/>
  <c r="M42" i="31" s="1"/>
  <c r="O41" i="31"/>
  <c r="N41" i="31"/>
  <c r="L41" i="31"/>
  <c r="H41" i="31"/>
  <c r="M41" i="31" s="1"/>
  <c r="O40" i="31"/>
  <c r="N40" i="31"/>
  <c r="L40" i="31"/>
  <c r="H40" i="31"/>
  <c r="K40" i="31" s="1"/>
  <c r="O39" i="31"/>
  <c r="N39" i="31"/>
  <c r="M39" i="31"/>
  <c r="L39" i="31"/>
  <c r="H39" i="31"/>
  <c r="K39" i="31" s="1"/>
  <c r="O38" i="31"/>
  <c r="N38" i="31"/>
  <c r="L38" i="31"/>
  <c r="H38" i="31"/>
  <c r="M38" i="31" s="1"/>
  <c r="O37" i="31"/>
  <c r="N37" i="31"/>
  <c r="L37" i="31"/>
  <c r="H37" i="31"/>
  <c r="M37" i="31" s="1"/>
  <c r="O36" i="31"/>
  <c r="N36" i="31"/>
  <c r="L36" i="31"/>
  <c r="H36" i="31"/>
  <c r="K36" i="31" s="1"/>
  <c r="O35" i="31"/>
  <c r="N35" i="31"/>
  <c r="L35" i="31"/>
  <c r="H35" i="31"/>
  <c r="K35" i="31" s="1"/>
  <c r="O34" i="31"/>
  <c r="N34" i="31"/>
  <c r="L34" i="31"/>
  <c r="H34" i="31"/>
  <c r="M34" i="31" s="1"/>
  <c r="O33" i="31"/>
  <c r="N33" i="31"/>
  <c r="L33" i="31"/>
  <c r="H33" i="31"/>
  <c r="M33" i="31" s="1"/>
  <c r="P33" i="31" s="1"/>
  <c r="O32" i="31"/>
  <c r="N32" i="31"/>
  <c r="L32" i="31"/>
  <c r="H32" i="31"/>
  <c r="K32" i="31" s="1"/>
  <c r="O31" i="31"/>
  <c r="N31" i="31"/>
  <c r="L31" i="31"/>
  <c r="H31" i="31"/>
  <c r="K31" i="31" s="1"/>
  <c r="O30" i="31"/>
  <c r="N30" i="31"/>
  <c r="L30" i="31"/>
  <c r="K30" i="31"/>
  <c r="H30" i="31"/>
  <c r="M30" i="31" s="1"/>
  <c r="O29" i="31"/>
  <c r="N29" i="31"/>
  <c r="L29" i="31"/>
  <c r="H29" i="31"/>
  <c r="M29" i="31" s="1"/>
  <c r="O28" i="31"/>
  <c r="N28" i="31"/>
  <c r="L28" i="31"/>
  <c r="H28" i="31"/>
  <c r="K28" i="31" s="1"/>
  <c r="O27" i="31"/>
  <c r="N27" i="31"/>
  <c r="L27" i="31"/>
  <c r="H27" i="31"/>
  <c r="K27" i="31" s="1"/>
  <c r="O26" i="31"/>
  <c r="N26" i="31"/>
  <c r="L26" i="31"/>
  <c r="H26" i="31"/>
  <c r="K26" i="31" s="1"/>
  <c r="O25" i="31"/>
  <c r="N25" i="31"/>
  <c r="L25" i="31"/>
  <c r="H25" i="31"/>
  <c r="M25" i="31" s="1"/>
  <c r="O24" i="31"/>
  <c r="N24" i="31"/>
  <c r="L24" i="31"/>
  <c r="H24" i="31"/>
  <c r="K24" i="31" s="1"/>
  <c r="O23" i="31"/>
  <c r="N23" i="31"/>
  <c r="L23" i="31"/>
  <c r="H23" i="31"/>
  <c r="K23" i="31" s="1"/>
  <c r="O22" i="31"/>
  <c r="N22" i="31"/>
  <c r="L22" i="31"/>
  <c r="H22" i="31"/>
  <c r="M22" i="31" s="1"/>
  <c r="O21" i="31"/>
  <c r="N21" i="31"/>
  <c r="L21" i="31"/>
  <c r="H21" i="31"/>
  <c r="M21" i="31" s="1"/>
  <c r="O20" i="31"/>
  <c r="N20" i="31"/>
  <c r="L20" i="31"/>
  <c r="H20" i="31"/>
  <c r="K20" i="31" s="1"/>
  <c r="O19" i="31"/>
  <c r="N19" i="31"/>
  <c r="M19" i="31"/>
  <c r="L19" i="31"/>
  <c r="H19" i="31"/>
  <c r="K19" i="31" s="1"/>
  <c r="O18" i="31"/>
  <c r="L18" i="31"/>
  <c r="N18" i="31"/>
  <c r="H18" i="31"/>
  <c r="K18" i="31" s="1"/>
  <c r="O71" i="52" l="1"/>
  <c r="H15" i="62" s="1"/>
  <c r="K34" i="31"/>
  <c r="K72" i="31"/>
  <c r="P134" i="31"/>
  <c r="P26" i="52"/>
  <c r="P30" i="52"/>
  <c r="P34" i="52"/>
  <c r="P42" i="52"/>
  <c r="P50" i="52"/>
  <c r="P96" i="31"/>
  <c r="P160" i="31"/>
  <c r="P27" i="55"/>
  <c r="M18" i="58"/>
  <c r="M42" i="58"/>
  <c r="P42" i="58" s="1"/>
  <c r="M20" i="60"/>
  <c r="P20" i="60" s="1"/>
  <c r="M30" i="60"/>
  <c r="P30" i="60" s="1"/>
  <c r="M47" i="60"/>
  <c r="P47" i="60" s="1"/>
  <c r="P59" i="31"/>
  <c r="K78" i="31"/>
  <c r="K92" i="31"/>
  <c r="K108" i="31"/>
  <c r="K132" i="31"/>
  <c r="P159" i="31"/>
  <c r="P38" i="52"/>
  <c r="P46" i="52"/>
  <c r="P54" i="52"/>
  <c r="P58" i="52"/>
  <c r="P62" i="52"/>
  <c r="P66" i="52"/>
  <c r="P83" i="31"/>
  <c r="P84" i="31"/>
  <c r="P23" i="53"/>
  <c r="M35" i="31"/>
  <c r="P80" i="31"/>
  <c r="K84" i="31"/>
  <c r="M93" i="31"/>
  <c r="P93" i="31" s="1"/>
  <c r="K99" i="31"/>
  <c r="K111" i="31"/>
  <c r="P114" i="31"/>
  <c r="M18" i="53"/>
  <c r="P18" i="53" s="1"/>
  <c r="M37" i="56"/>
  <c r="P37" i="56" s="1"/>
  <c r="K61" i="57"/>
  <c r="P66" i="57"/>
  <c r="M46" i="58"/>
  <c r="P46" i="58" s="1"/>
  <c r="M56" i="58"/>
  <c r="K28" i="58"/>
  <c r="K36" i="58"/>
  <c r="K44" i="58"/>
  <c r="K48" i="58"/>
  <c r="M58" i="58"/>
  <c r="P58" i="58" s="1"/>
  <c r="M22" i="58"/>
  <c r="P22" i="58" s="1"/>
  <c r="K24" i="58"/>
  <c r="M30" i="58"/>
  <c r="P30" i="58" s="1"/>
  <c r="K32" i="58"/>
  <c r="M38" i="58"/>
  <c r="P38" i="58" s="1"/>
  <c r="M54" i="58"/>
  <c r="P54" i="58" s="1"/>
  <c r="K39" i="56"/>
  <c r="M21" i="56"/>
  <c r="P21" i="56" s="1"/>
  <c r="K27" i="55"/>
  <c r="K33" i="55"/>
  <c r="M20" i="53"/>
  <c r="K42" i="31"/>
  <c r="M57" i="31"/>
  <c r="P57" i="31" s="1"/>
  <c r="K59" i="31"/>
  <c r="K71" i="31"/>
  <c r="P111" i="31"/>
  <c r="M136" i="31"/>
  <c r="P136" i="31" s="1"/>
  <c r="M126" i="31"/>
  <c r="M140" i="31"/>
  <c r="P140" i="31" s="1"/>
  <c r="M32" i="31"/>
  <c r="P32" i="31" s="1"/>
  <c r="P67" i="31"/>
  <c r="M100" i="31"/>
  <c r="P100" i="31" s="1"/>
  <c r="K103" i="31"/>
  <c r="K114" i="31"/>
  <c r="K162" i="31"/>
  <c r="P36" i="57"/>
  <c r="P32" i="57"/>
  <c r="K26" i="57"/>
  <c r="P26" i="57"/>
  <c r="K25" i="57"/>
  <c r="P71" i="57"/>
  <c r="K71" i="57"/>
  <c r="P70" i="57"/>
  <c r="K70" i="57"/>
  <c r="K69" i="57"/>
  <c r="P65" i="57"/>
  <c r="K65" i="57"/>
  <c r="P60" i="57"/>
  <c r="M59" i="57"/>
  <c r="P59" i="57" s="1"/>
  <c r="K58" i="57"/>
  <c r="K53" i="57"/>
  <c r="P56" i="57"/>
  <c r="P54" i="57"/>
  <c r="M43" i="57"/>
  <c r="K38" i="57"/>
  <c r="P44" i="57"/>
  <c r="P49" i="57"/>
  <c r="P43" i="57"/>
  <c r="O73" i="57"/>
  <c r="H20" i="62" s="1"/>
  <c r="K50" i="57"/>
  <c r="K45" i="57"/>
  <c r="L73" i="57"/>
  <c r="I20" i="62" s="1"/>
  <c r="N73" i="57"/>
  <c r="G20" i="62" s="1"/>
  <c r="P40" i="57"/>
  <c r="M19" i="57"/>
  <c r="P19" i="57" s="1"/>
  <c r="K21" i="57"/>
  <c r="K60" i="58"/>
  <c r="P50" i="58"/>
  <c r="L64" i="58"/>
  <c r="I21" i="62" s="1"/>
  <c r="O64" i="58"/>
  <c r="H21" i="62" s="1"/>
  <c r="K40" i="58"/>
  <c r="N64" i="58"/>
  <c r="G21" i="62" s="1"/>
  <c r="P26" i="58"/>
  <c r="P34" i="58"/>
  <c r="P19" i="58"/>
  <c r="P18" i="58"/>
  <c r="P20" i="58"/>
  <c r="P34" i="55"/>
  <c r="M41" i="56"/>
  <c r="P41" i="56" s="1"/>
  <c r="K31" i="56"/>
  <c r="P22" i="56"/>
  <c r="M21" i="54"/>
  <c r="P21" i="54" s="1"/>
  <c r="K27" i="54"/>
  <c r="P25" i="54"/>
  <c r="K25" i="54"/>
  <c r="K23" i="54"/>
  <c r="N29" i="54"/>
  <c r="G17" i="62" s="1"/>
  <c r="O29" i="54"/>
  <c r="H17" i="62" s="1"/>
  <c r="L29" i="54"/>
  <c r="I17" i="62" s="1"/>
  <c r="M44" i="60"/>
  <c r="P44" i="60" s="1"/>
  <c r="M40" i="60"/>
  <c r="M35" i="60"/>
  <c r="P35" i="60" s="1"/>
  <c r="P33" i="60"/>
  <c r="K26" i="60"/>
  <c r="M24" i="60"/>
  <c r="O25" i="59"/>
  <c r="H22" i="62" s="1"/>
  <c r="M17" i="59"/>
  <c r="P17" i="59" s="1"/>
  <c r="L25" i="59"/>
  <c r="I22" i="62" s="1"/>
  <c r="N25" i="59"/>
  <c r="G22" i="62" s="1"/>
  <c r="K21" i="59"/>
  <c r="P19" i="59"/>
  <c r="P31" i="53"/>
  <c r="M29" i="53"/>
  <c r="P29" i="53" s="1"/>
  <c r="P27" i="53"/>
  <c r="M25" i="53"/>
  <c r="P25" i="53" s="1"/>
  <c r="O36" i="53"/>
  <c r="H16" i="62" s="1"/>
  <c r="N36" i="53"/>
  <c r="G16" i="62" s="1"/>
  <c r="L36" i="53"/>
  <c r="I16" i="62" s="1"/>
  <c r="M21" i="53"/>
  <c r="P20" i="53"/>
  <c r="N71" i="52"/>
  <c r="G15" i="62" s="1"/>
  <c r="L71" i="52"/>
  <c r="I15" i="62" s="1"/>
  <c r="P150" i="31"/>
  <c r="P148" i="31"/>
  <c r="P147" i="31"/>
  <c r="K148" i="31"/>
  <c r="P146" i="31"/>
  <c r="K146" i="31"/>
  <c r="P143" i="31"/>
  <c r="P144" i="31"/>
  <c r="M142" i="31"/>
  <c r="P142" i="31" s="1"/>
  <c r="K143" i="31"/>
  <c r="P131" i="31"/>
  <c r="P130" i="31"/>
  <c r="K130" i="31"/>
  <c r="P128" i="31"/>
  <c r="P127" i="31"/>
  <c r="K127" i="31"/>
  <c r="P118" i="31"/>
  <c r="P116" i="31"/>
  <c r="P115" i="31"/>
  <c r="K116" i="31"/>
  <c r="P112" i="31"/>
  <c r="K110" i="31"/>
  <c r="P106" i="31"/>
  <c r="P103" i="31"/>
  <c r="P95" i="31"/>
  <c r="K95" i="31"/>
  <c r="K94" i="31"/>
  <c r="P92" i="31"/>
  <c r="K91" i="31"/>
  <c r="P87" i="31"/>
  <c r="P88" i="31"/>
  <c r="P79" i="31"/>
  <c r="P75" i="31"/>
  <c r="P76" i="31"/>
  <c r="P72" i="31"/>
  <c r="M73" i="31"/>
  <c r="P73" i="31" s="1"/>
  <c r="P68" i="31"/>
  <c r="K68" i="31"/>
  <c r="K67" i="31"/>
  <c r="P64" i="31"/>
  <c r="K64" i="31"/>
  <c r="K63" i="31"/>
  <c r="P60" i="31"/>
  <c r="P58" i="31"/>
  <c r="P56" i="31"/>
  <c r="K56" i="31"/>
  <c r="P55" i="31"/>
  <c r="K55" i="31"/>
  <c r="P52" i="31"/>
  <c r="P47" i="31"/>
  <c r="N226" i="31"/>
  <c r="G14" i="62" s="1"/>
  <c r="O226" i="31"/>
  <c r="H14" i="62" s="1"/>
  <c r="P48" i="31"/>
  <c r="K48" i="31"/>
  <c r="M46" i="31"/>
  <c r="P46" i="31" s="1"/>
  <c r="L226" i="31"/>
  <c r="I14" i="62" s="1"/>
  <c r="M44" i="31"/>
  <c r="M26" i="31"/>
  <c r="M28" i="31"/>
  <c r="P28" i="31" s="1"/>
  <c r="M23" i="31"/>
  <c r="P23" i="31" s="1"/>
  <c r="P21" i="31"/>
  <c r="P19" i="31"/>
  <c r="P39" i="31"/>
  <c r="P37" i="31"/>
  <c r="P35" i="31"/>
  <c r="P34" i="31"/>
  <c r="K34" i="53"/>
  <c r="M34" i="53"/>
  <c r="P34" i="53" s="1"/>
  <c r="M17" i="57"/>
  <c r="P17" i="57" s="1"/>
  <c r="K17" i="57"/>
  <c r="M33" i="57"/>
  <c r="P33" i="57" s="1"/>
  <c r="K33" i="57"/>
  <c r="M37" i="57"/>
  <c r="P37" i="57" s="1"/>
  <c r="K37" i="57"/>
  <c r="M23" i="59"/>
  <c r="P23" i="59" s="1"/>
  <c r="K23" i="59"/>
  <c r="K19" i="60"/>
  <c r="M19" i="60"/>
  <c r="P19" i="60" s="1"/>
  <c r="M20" i="31"/>
  <c r="P20" i="31" s="1"/>
  <c r="K22" i="31"/>
  <c r="P22" i="31"/>
  <c r="P25" i="31"/>
  <c r="M27" i="31"/>
  <c r="P27" i="31" s="1"/>
  <c r="M36" i="31"/>
  <c r="K38" i="31"/>
  <c r="P38" i="31"/>
  <c r="P41" i="31"/>
  <c r="M43" i="31"/>
  <c r="P43" i="31" s="1"/>
  <c r="K52" i="31"/>
  <c r="K60" i="31"/>
  <c r="M61" i="31"/>
  <c r="K62" i="31"/>
  <c r="P63" i="31"/>
  <c r="P71" i="31"/>
  <c r="K79" i="31"/>
  <c r="K83" i="31"/>
  <c r="K87" i="31"/>
  <c r="P90" i="31"/>
  <c r="P91" i="31"/>
  <c r="K96" i="31"/>
  <c r="K104" i="31"/>
  <c r="M105" i="31"/>
  <c r="P105" i="31" s="1"/>
  <c r="K107" i="31"/>
  <c r="K112" i="31"/>
  <c r="K115" i="31"/>
  <c r="K118" i="31"/>
  <c r="M121" i="31"/>
  <c r="P121" i="31" s="1"/>
  <c r="K123" i="31"/>
  <c r="M125" i="31"/>
  <c r="P125" i="31" s="1"/>
  <c r="K128" i="31"/>
  <c r="K131" i="31"/>
  <c r="K134" i="31"/>
  <c r="M137" i="31"/>
  <c r="P137" i="31" s="1"/>
  <c r="K139" i="31"/>
  <c r="M141" i="31"/>
  <c r="P141" i="31" s="1"/>
  <c r="K144" i="31"/>
  <c r="K147" i="31"/>
  <c r="K150" i="31"/>
  <c r="M153" i="31"/>
  <c r="P153" i="31" s="1"/>
  <c r="K155" i="31"/>
  <c r="M157" i="31"/>
  <c r="P157" i="31" s="1"/>
  <c r="K160" i="31"/>
  <c r="K166" i="31"/>
  <c r="M166" i="31"/>
  <c r="P166" i="31" s="1"/>
  <c r="M168" i="31"/>
  <c r="P168" i="31" s="1"/>
  <c r="K168" i="31"/>
  <c r="K170" i="31"/>
  <c r="M170" i="31"/>
  <c r="P170" i="31" s="1"/>
  <c r="M172" i="31"/>
  <c r="P172" i="31" s="1"/>
  <c r="K172" i="31"/>
  <c r="K174" i="31"/>
  <c r="M174" i="31"/>
  <c r="P174" i="31" s="1"/>
  <c r="M176" i="31"/>
  <c r="P176" i="31" s="1"/>
  <c r="K176" i="31"/>
  <c r="K178" i="31"/>
  <c r="M178" i="31"/>
  <c r="P178" i="31" s="1"/>
  <c r="M180" i="31"/>
  <c r="P180" i="31" s="1"/>
  <c r="K180" i="31"/>
  <c r="K182" i="31"/>
  <c r="M182" i="31"/>
  <c r="P182" i="31" s="1"/>
  <c r="M184" i="31"/>
  <c r="P184" i="31" s="1"/>
  <c r="K184" i="31"/>
  <c r="K186" i="31"/>
  <c r="M186" i="31"/>
  <c r="P186" i="31" s="1"/>
  <c r="M188" i="31"/>
  <c r="P188" i="31" s="1"/>
  <c r="K188" i="31"/>
  <c r="K190" i="31"/>
  <c r="M190" i="31"/>
  <c r="P190" i="31" s="1"/>
  <c r="M192" i="31"/>
  <c r="P192" i="31" s="1"/>
  <c r="K192" i="31"/>
  <c r="K194" i="31"/>
  <c r="M194" i="31"/>
  <c r="P194" i="31" s="1"/>
  <c r="M196" i="31"/>
  <c r="P196" i="31" s="1"/>
  <c r="K196" i="31"/>
  <c r="K198" i="31"/>
  <c r="M198" i="31"/>
  <c r="P198" i="31" s="1"/>
  <c r="M200" i="31"/>
  <c r="P200" i="31" s="1"/>
  <c r="K200" i="31"/>
  <c r="K202" i="31"/>
  <c r="M202" i="31"/>
  <c r="P202" i="31" s="1"/>
  <c r="M204" i="31"/>
  <c r="P204" i="31" s="1"/>
  <c r="K204" i="31"/>
  <c r="K206" i="31"/>
  <c r="M206" i="31"/>
  <c r="M208" i="31"/>
  <c r="P208" i="31" s="1"/>
  <c r="K208" i="31"/>
  <c r="K210" i="31"/>
  <c r="M210" i="31"/>
  <c r="M212" i="31"/>
  <c r="P212" i="31" s="1"/>
  <c r="K212" i="31"/>
  <c r="K214" i="31"/>
  <c r="M214" i="31"/>
  <c r="P214" i="31" s="1"/>
  <c r="M216" i="31"/>
  <c r="P216" i="31" s="1"/>
  <c r="K216" i="31"/>
  <c r="K218" i="31"/>
  <c r="M218" i="31"/>
  <c r="P218" i="31" s="1"/>
  <c r="M220" i="31"/>
  <c r="P220" i="31" s="1"/>
  <c r="K220" i="31"/>
  <c r="K222" i="31"/>
  <c r="M222" i="31"/>
  <c r="P222" i="31" s="1"/>
  <c r="M224" i="31"/>
  <c r="P224" i="31" s="1"/>
  <c r="K224" i="31"/>
  <c r="K17" i="52"/>
  <c r="M17" i="52"/>
  <c r="P17" i="52" s="1"/>
  <c r="P18" i="52"/>
  <c r="M19" i="52"/>
  <c r="P19" i="52" s="1"/>
  <c r="K19" i="52"/>
  <c r="K21" i="52"/>
  <c r="M21" i="52"/>
  <c r="P21" i="52" s="1"/>
  <c r="P22" i="52"/>
  <c r="M23" i="52"/>
  <c r="P23" i="52" s="1"/>
  <c r="K23" i="52"/>
  <c r="M27" i="52"/>
  <c r="P27" i="52" s="1"/>
  <c r="K27" i="52"/>
  <c r="M31" i="52"/>
  <c r="P31" i="52" s="1"/>
  <c r="K31" i="52"/>
  <c r="M35" i="52"/>
  <c r="P35" i="52" s="1"/>
  <c r="K35" i="52"/>
  <c r="M39" i="52"/>
  <c r="P39" i="52" s="1"/>
  <c r="K39" i="52"/>
  <c r="M43" i="52"/>
  <c r="P43" i="52" s="1"/>
  <c r="K43" i="52"/>
  <c r="M47" i="52"/>
  <c r="P47" i="52" s="1"/>
  <c r="K47" i="52"/>
  <c r="M51" i="52"/>
  <c r="P51" i="52" s="1"/>
  <c r="K51" i="52"/>
  <c r="M55" i="52"/>
  <c r="P55" i="52" s="1"/>
  <c r="K55" i="52"/>
  <c r="M59" i="52"/>
  <c r="P59" i="52" s="1"/>
  <c r="K59" i="52"/>
  <c r="M63" i="52"/>
  <c r="P63" i="52" s="1"/>
  <c r="K63" i="52"/>
  <c r="M67" i="52"/>
  <c r="P67" i="52" s="1"/>
  <c r="K67" i="52"/>
  <c r="K17" i="53"/>
  <c r="M17" i="53"/>
  <c r="P17" i="53" s="1"/>
  <c r="M24" i="53"/>
  <c r="P24" i="53" s="1"/>
  <c r="K24" i="53"/>
  <c r="K43" i="55"/>
  <c r="M43" i="55"/>
  <c r="P43" i="55" s="1"/>
  <c r="M45" i="55"/>
  <c r="P45" i="55" s="1"/>
  <c r="K45" i="55"/>
  <c r="M49" i="55"/>
  <c r="P49" i="55" s="1"/>
  <c r="K49" i="55"/>
  <c r="M53" i="55"/>
  <c r="P53" i="55" s="1"/>
  <c r="K53" i="55"/>
  <c r="P39" i="56"/>
  <c r="K27" i="57"/>
  <c r="M27" i="57"/>
  <c r="P27" i="57" s="1"/>
  <c r="M46" i="57"/>
  <c r="P46" i="57" s="1"/>
  <c r="K46" i="57"/>
  <c r="M24" i="31"/>
  <c r="P24" i="31" s="1"/>
  <c r="P26" i="31"/>
  <c r="P29" i="31"/>
  <c r="M31" i="31"/>
  <c r="P31" i="31" s="1"/>
  <c r="M40" i="31"/>
  <c r="P40" i="31" s="1"/>
  <c r="P42" i="31"/>
  <c r="P74" i="31"/>
  <c r="M89" i="31"/>
  <c r="P89" i="31" s="1"/>
  <c r="M109" i="31"/>
  <c r="P109" i="31" s="1"/>
  <c r="P120" i="31"/>
  <c r="P152" i="31"/>
  <c r="M164" i="31"/>
  <c r="P164" i="31" s="1"/>
  <c r="M28" i="53"/>
  <c r="P28" i="53" s="1"/>
  <c r="K28" i="53"/>
  <c r="K35" i="55"/>
  <c r="M35" i="55"/>
  <c r="P35" i="55" s="1"/>
  <c r="K29" i="56"/>
  <c r="M29" i="56"/>
  <c r="P29" i="56" s="1"/>
  <c r="P30" i="31"/>
  <c r="P44" i="31"/>
  <c r="P123" i="31"/>
  <c r="P126" i="31"/>
  <c r="P139" i="31"/>
  <c r="P155" i="31"/>
  <c r="P158" i="31"/>
  <c r="M32" i="53"/>
  <c r="P32" i="53" s="1"/>
  <c r="K32" i="53"/>
  <c r="K36" i="60"/>
  <c r="M25" i="52"/>
  <c r="P25" i="52" s="1"/>
  <c r="M29" i="52"/>
  <c r="P29" i="52" s="1"/>
  <c r="M33" i="52"/>
  <c r="P33" i="52" s="1"/>
  <c r="M37" i="52"/>
  <c r="P37" i="52" s="1"/>
  <c r="M41" i="52"/>
  <c r="P41" i="52" s="1"/>
  <c r="M45" i="52"/>
  <c r="P45" i="52" s="1"/>
  <c r="M49" i="52"/>
  <c r="P49" i="52" s="1"/>
  <c r="M53" i="52"/>
  <c r="P53" i="52" s="1"/>
  <c r="M57" i="52"/>
  <c r="P57" i="52" s="1"/>
  <c r="M61" i="52"/>
  <c r="P61" i="52" s="1"/>
  <c r="M65" i="52"/>
  <c r="P65" i="52" s="1"/>
  <c r="M69" i="52"/>
  <c r="P69" i="52" s="1"/>
  <c r="M22" i="53"/>
  <c r="P22" i="53" s="1"/>
  <c r="M26" i="53"/>
  <c r="P26" i="53" s="1"/>
  <c r="M30" i="53"/>
  <c r="P30" i="53" s="1"/>
  <c r="P20" i="54"/>
  <c r="P24" i="54"/>
  <c r="P18" i="55"/>
  <c r="P22" i="55"/>
  <c r="P26" i="55"/>
  <c r="P23" i="56"/>
  <c r="M41" i="57"/>
  <c r="P41" i="57" s="1"/>
  <c r="K41" i="57"/>
  <c r="K51" i="57"/>
  <c r="M51" i="57"/>
  <c r="P51" i="57" s="1"/>
  <c r="M62" i="57"/>
  <c r="P62" i="57" s="1"/>
  <c r="K62" i="57"/>
  <c r="K27" i="60"/>
  <c r="M27" i="60"/>
  <c r="P27" i="60" s="1"/>
  <c r="P19" i="54"/>
  <c r="P23" i="54"/>
  <c r="P27" i="54"/>
  <c r="P25" i="55"/>
  <c r="M37" i="55"/>
  <c r="P37" i="55" s="1"/>
  <c r="K37" i="55"/>
  <c r="P38" i="55"/>
  <c r="K39" i="55"/>
  <c r="M57" i="55"/>
  <c r="P57" i="55" s="1"/>
  <c r="K57" i="55"/>
  <c r="M61" i="55"/>
  <c r="P61" i="55" s="1"/>
  <c r="K61" i="55"/>
  <c r="M65" i="55"/>
  <c r="P65" i="55" s="1"/>
  <c r="K65" i="55"/>
  <c r="M69" i="55"/>
  <c r="P69" i="55" s="1"/>
  <c r="K69" i="55"/>
  <c r="M73" i="55"/>
  <c r="P73" i="55" s="1"/>
  <c r="K73" i="55"/>
  <c r="K20" i="56"/>
  <c r="M27" i="56"/>
  <c r="P27" i="56" s="1"/>
  <c r="K27" i="56"/>
  <c r="M22" i="57"/>
  <c r="K22" i="57"/>
  <c r="M57" i="57"/>
  <c r="P57" i="57" s="1"/>
  <c r="K57" i="57"/>
  <c r="P19" i="53"/>
  <c r="P33" i="55"/>
  <c r="K41" i="55"/>
  <c r="K36" i="56"/>
  <c r="M36" i="56"/>
  <c r="P36" i="56" s="1"/>
  <c r="K67" i="57"/>
  <c r="M67" i="57"/>
  <c r="P67" i="57" s="1"/>
  <c r="K23" i="60"/>
  <c r="M23" i="60"/>
  <c r="P23" i="60" s="1"/>
  <c r="M34" i="60"/>
  <c r="P34" i="60" s="1"/>
  <c r="K34" i="60"/>
  <c r="K43" i="60"/>
  <c r="M47" i="55"/>
  <c r="P47" i="55" s="1"/>
  <c r="M51" i="55"/>
  <c r="P51" i="55" s="1"/>
  <c r="M59" i="55"/>
  <c r="P59" i="55" s="1"/>
  <c r="M63" i="55"/>
  <c r="P63" i="55" s="1"/>
  <c r="M67" i="55"/>
  <c r="P67" i="55" s="1"/>
  <c r="M71" i="55"/>
  <c r="P71" i="55" s="1"/>
  <c r="M19" i="56"/>
  <c r="M25" i="56"/>
  <c r="P25" i="56" s="1"/>
  <c r="M32" i="56"/>
  <c r="P32" i="56" s="1"/>
  <c r="P18" i="57"/>
  <c r="P28" i="57"/>
  <c r="P29" i="57"/>
  <c r="M31" i="57"/>
  <c r="P31" i="57" s="1"/>
  <c r="P34" i="57"/>
  <c r="M35" i="57"/>
  <c r="P35" i="57" s="1"/>
  <c r="P38" i="57"/>
  <c r="M39" i="57"/>
  <c r="P39" i="57" s="1"/>
  <c r="P42" i="57"/>
  <c r="P52" i="57"/>
  <c r="P53" i="57"/>
  <c r="M55" i="57"/>
  <c r="P55" i="57" s="1"/>
  <c r="P58" i="57"/>
  <c r="P68" i="57"/>
  <c r="P69" i="57"/>
  <c r="M18" i="60"/>
  <c r="P18" i="60" s="1"/>
  <c r="M32" i="60"/>
  <c r="P32" i="60" s="1"/>
  <c r="P37" i="60"/>
  <c r="M39" i="60"/>
  <c r="P39" i="60" s="1"/>
  <c r="M42" i="60"/>
  <c r="P42" i="60" s="1"/>
  <c r="P50" i="55"/>
  <c r="P54" i="55"/>
  <c r="P58" i="55"/>
  <c r="P62" i="55"/>
  <c r="P66" i="55"/>
  <c r="P70" i="55"/>
  <c r="P18" i="56"/>
  <c r="P31" i="56"/>
  <c r="P34" i="56"/>
  <c r="K18" i="57"/>
  <c r="P24" i="57"/>
  <c r="P25" i="57"/>
  <c r="K29" i="57"/>
  <c r="P30" i="57"/>
  <c r="K34" i="57"/>
  <c r="P48" i="57"/>
  <c r="P64" i="57"/>
  <c r="P24" i="58"/>
  <c r="P28" i="58"/>
  <c r="P32" i="58"/>
  <c r="P36" i="58"/>
  <c r="P40" i="58"/>
  <c r="P44" i="58"/>
  <c r="P48" i="58"/>
  <c r="P52" i="58"/>
  <c r="P56" i="58"/>
  <c r="P60" i="58"/>
  <c r="P17" i="60"/>
  <c r="P41" i="60"/>
  <c r="P19" i="56"/>
  <c r="M24" i="56"/>
  <c r="P24" i="56" s="1"/>
  <c r="M33" i="56"/>
  <c r="P33" i="56" s="1"/>
  <c r="P35" i="56"/>
  <c r="P38" i="56"/>
  <c r="P20" i="57"/>
  <c r="P21" i="57"/>
  <c r="M23" i="57"/>
  <c r="P23" i="57" s="1"/>
  <c r="K30" i="57"/>
  <c r="P45" i="57"/>
  <c r="M47" i="57"/>
  <c r="P47" i="57" s="1"/>
  <c r="K49" i="57"/>
  <c r="P50" i="57"/>
  <c r="K54" i="57"/>
  <c r="P61" i="57"/>
  <c r="M63" i="57"/>
  <c r="P63" i="57" s="1"/>
  <c r="P23" i="58"/>
  <c r="P27" i="58"/>
  <c r="P31" i="58"/>
  <c r="P35" i="58"/>
  <c r="P39" i="58"/>
  <c r="P43" i="58"/>
  <c r="P47" i="58"/>
  <c r="P51" i="58"/>
  <c r="P55" i="58"/>
  <c r="P59" i="58"/>
  <c r="P20" i="59"/>
  <c r="P21" i="59"/>
  <c r="P21" i="60"/>
  <c r="P25" i="60"/>
  <c r="P26" i="60"/>
  <c r="M31" i="60"/>
  <c r="P31" i="60" s="1"/>
  <c r="P40" i="60"/>
  <c r="P45" i="60"/>
  <c r="K17" i="60"/>
  <c r="K21" i="60"/>
  <c r="K25" i="60"/>
  <c r="K29" i="60"/>
  <c r="K33" i="60"/>
  <c r="K37" i="60"/>
  <c r="K41" i="60"/>
  <c r="K45" i="60"/>
  <c r="M18" i="59"/>
  <c r="K20" i="59"/>
  <c r="M22" i="59"/>
  <c r="P22" i="59" s="1"/>
  <c r="M17" i="58"/>
  <c r="P17" i="58" s="1"/>
  <c r="K19" i="58"/>
  <c r="M21" i="58"/>
  <c r="P21" i="58" s="1"/>
  <c r="K23" i="58"/>
  <c r="M25" i="58"/>
  <c r="P25" i="58" s="1"/>
  <c r="K27" i="58"/>
  <c r="M29" i="58"/>
  <c r="P29" i="58" s="1"/>
  <c r="K31" i="58"/>
  <c r="M33" i="58"/>
  <c r="P33" i="58" s="1"/>
  <c r="K35" i="58"/>
  <c r="M37" i="58"/>
  <c r="P37" i="58" s="1"/>
  <c r="K39" i="58"/>
  <c r="M41" i="58"/>
  <c r="P41" i="58" s="1"/>
  <c r="K43" i="58"/>
  <c r="M45" i="58"/>
  <c r="P45" i="58" s="1"/>
  <c r="K47" i="58"/>
  <c r="M49" i="58"/>
  <c r="P49" i="58" s="1"/>
  <c r="K51" i="58"/>
  <c r="M53" i="58"/>
  <c r="P53" i="58" s="1"/>
  <c r="K55" i="58"/>
  <c r="M57" i="58"/>
  <c r="P57" i="58" s="1"/>
  <c r="K59" i="58"/>
  <c r="M61" i="58"/>
  <c r="P61" i="58" s="1"/>
  <c r="K20" i="57"/>
  <c r="K24" i="57"/>
  <c r="K28" i="57"/>
  <c r="K32" i="57"/>
  <c r="K36" i="57"/>
  <c r="K40" i="57"/>
  <c r="K44" i="57"/>
  <c r="K48" i="57"/>
  <c r="K52" i="57"/>
  <c r="K56" i="57"/>
  <c r="K60" i="57"/>
  <c r="K64" i="57"/>
  <c r="K68" i="57"/>
  <c r="K18" i="56"/>
  <c r="K22" i="56"/>
  <c r="K26" i="56"/>
  <c r="K30" i="56"/>
  <c r="K34" i="56"/>
  <c r="K38" i="56"/>
  <c r="K18" i="55"/>
  <c r="M20" i="55"/>
  <c r="P20" i="55" s="1"/>
  <c r="K22" i="55"/>
  <c r="M24" i="55"/>
  <c r="P24" i="55" s="1"/>
  <c r="K26" i="55"/>
  <c r="M28" i="55"/>
  <c r="P28" i="55" s="1"/>
  <c r="K30" i="55"/>
  <c r="M32" i="55"/>
  <c r="P32" i="55" s="1"/>
  <c r="K34" i="55"/>
  <c r="K38" i="55"/>
  <c r="K42" i="55"/>
  <c r="M44" i="55"/>
  <c r="P44" i="55" s="1"/>
  <c r="K46" i="55"/>
  <c r="M48" i="55"/>
  <c r="P48" i="55" s="1"/>
  <c r="K50" i="55"/>
  <c r="M52" i="55"/>
  <c r="P52" i="55" s="1"/>
  <c r="K54" i="55"/>
  <c r="M56" i="55"/>
  <c r="P56" i="55" s="1"/>
  <c r="K58" i="55"/>
  <c r="M60" i="55"/>
  <c r="P60" i="55" s="1"/>
  <c r="K62" i="55"/>
  <c r="M64" i="55"/>
  <c r="P64" i="55" s="1"/>
  <c r="K66" i="55"/>
  <c r="M68" i="55"/>
  <c r="P68" i="55" s="1"/>
  <c r="K70" i="55"/>
  <c r="M72" i="55"/>
  <c r="P72" i="55" s="1"/>
  <c r="M18" i="54"/>
  <c r="K20" i="54"/>
  <c r="M22" i="54"/>
  <c r="P22" i="54" s="1"/>
  <c r="K24" i="54"/>
  <c r="M26" i="54"/>
  <c r="P26" i="54" s="1"/>
  <c r="K19" i="53"/>
  <c r="K23" i="53"/>
  <c r="K27" i="53"/>
  <c r="K31" i="53"/>
  <c r="K18" i="52"/>
  <c r="M20" i="52"/>
  <c r="P20" i="52" s="1"/>
  <c r="K22" i="52"/>
  <c r="M24" i="52"/>
  <c r="P24" i="52" s="1"/>
  <c r="K26" i="52"/>
  <c r="M28" i="52"/>
  <c r="K30" i="52"/>
  <c r="M32" i="52"/>
  <c r="P32" i="52" s="1"/>
  <c r="K34" i="52"/>
  <c r="M36" i="52"/>
  <c r="P36" i="52" s="1"/>
  <c r="K38" i="52"/>
  <c r="M40" i="52"/>
  <c r="P40" i="52" s="1"/>
  <c r="K42" i="52"/>
  <c r="M44" i="52"/>
  <c r="P44" i="52" s="1"/>
  <c r="K46" i="52"/>
  <c r="M48" i="52"/>
  <c r="P48" i="52" s="1"/>
  <c r="K50" i="52"/>
  <c r="M52" i="52"/>
  <c r="P52" i="52" s="1"/>
  <c r="K54" i="52"/>
  <c r="M56" i="52"/>
  <c r="P56" i="52" s="1"/>
  <c r="K58" i="52"/>
  <c r="M60" i="52"/>
  <c r="P60" i="52" s="1"/>
  <c r="K62" i="52"/>
  <c r="M64" i="52"/>
  <c r="P64" i="52" s="1"/>
  <c r="K66" i="52"/>
  <c r="M68" i="52"/>
  <c r="P68" i="52" s="1"/>
  <c r="K117" i="31"/>
  <c r="M117" i="31"/>
  <c r="P117" i="31" s="1"/>
  <c r="K133" i="31"/>
  <c r="M133" i="31"/>
  <c r="P133" i="31" s="1"/>
  <c r="M197" i="31"/>
  <c r="P197" i="31" s="1"/>
  <c r="K197" i="31"/>
  <c r="K74" i="31"/>
  <c r="P86" i="31"/>
  <c r="K90" i="31"/>
  <c r="P102" i="31"/>
  <c r="P122" i="31"/>
  <c r="P138" i="31"/>
  <c r="P154" i="31"/>
  <c r="K175" i="31"/>
  <c r="M175" i="31"/>
  <c r="P175" i="31" s="1"/>
  <c r="K191" i="31"/>
  <c r="M191" i="31"/>
  <c r="P191" i="31" s="1"/>
  <c r="M45" i="31"/>
  <c r="P45" i="31" s="1"/>
  <c r="P50" i="31"/>
  <c r="M53" i="31"/>
  <c r="P53" i="31" s="1"/>
  <c r="K54" i="31"/>
  <c r="P66" i="31"/>
  <c r="M69" i="31"/>
  <c r="P69" i="31" s="1"/>
  <c r="K70" i="31"/>
  <c r="P82" i="31"/>
  <c r="M85" i="31"/>
  <c r="P85" i="31" s="1"/>
  <c r="K86" i="31"/>
  <c r="P98" i="31"/>
  <c r="M101" i="31"/>
  <c r="P101" i="31" s="1"/>
  <c r="K102" i="31"/>
  <c r="K122" i="31"/>
  <c r="P124" i="31"/>
  <c r="K138" i="31"/>
  <c r="K154" i="31"/>
  <c r="P156" i="31"/>
  <c r="M173" i="31"/>
  <c r="P173" i="31" s="1"/>
  <c r="K173" i="31"/>
  <c r="M189" i="31"/>
  <c r="P189" i="31" s="1"/>
  <c r="K189" i="31"/>
  <c r="M209" i="31"/>
  <c r="P209" i="31" s="1"/>
  <c r="K209" i="31"/>
  <c r="M213" i="31"/>
  <c r="P213" i="31" s="1"/>
  <c r="K213" i="31"/>
  <c r="K113" i="31"/>
  <c r="M113" i="31"/>
  <c r="P113" i="31" s="1"/>
  <c r="K129" i="31"/>
  <c r="M129" i="31"/>
  <c r="K145" i="31"/>
  <c r="M145" i="31"/>
  <c r="P145" i="31" s="1"/>
  <c r="K149" i="31"/>
  <c r="M149" i="31"/>
  <c r="P149" i="31" s="1"/>
  <c r="M165" i="31"/>
  <c r="P165" i="31" s="1"/>
  <c r="K165" i="31"/>
  <c r="M181" i="31"/>
  <c r="P181" i="31" s="1"/>
  <c r="K181" i="31"/>
  <c r="K21" i="31"/>
  <c r="K25" i="31"/>
  <c r="K29" i="31"/>
  <c r="K33" i="31"/>
  <c r="K37" i="31"/>
  <c r="K41" i="31"/>
  <c r="K47" i="31"/>
  <c r="P54" i="31"/>
  <c r="K58" i="31"/>
  <c r="P70" i="31"/>
  <c r="K106" i="31"/>
  <c r="M119" i="31"/>
  <c r="P119" i="31" s="1"/>
  <c r="K119" i="31"/>
  <c r="M135" i="31"/>
  <c r="P135" i="31" s="1"/>
  <c r="K135" i="31"/>
  <c r="M151" i="31"/>
  <c r="P151" i="31" s="1"/>
  <c r="K151" i="31"/>
  <c r="M49" i="31"/>
  <c r="P49" i="31" s="1"/>
  <c r="K50" i="31"/>
  <c r="P62" i="31"/>
  <c r="M65" i="31"/>
  <c r="P65" i="31" s="1"/>
  <c r="K66" i="31"/>
  <c r="P78" i="31"/>
  <c r="M81" i="31"/>
  <c r="P81" i="31" s="1"/>
  <c r="K82" i="31"/>
  <c r="P94" i="31"/>
  <c r="M97" i="31"/>
  <c r="P97" i="31" s="1"/>
  <c r="K98" i="31"/>
  <c r="P110" i="31"/>
  <c r="K167" i="31"/>
  <c r="M167" i="31"/>
  <c r="P167" i="31" s="1"/>
  <c r="K183" i="31"/>
  <c r="M183" i="31"/>
  <c r="P183" i="31" s="1"/>
  <c r="K163" i="31"/>
  <c r="M163" i="31"/>
  <c r="P163" i="31" s="1"/>
  <c r="K171" i="31"/>
  <c r="M171" i="31"/>
  <c r="P171" i="31" s="1"/>
  <c r="K179" i="31"/>
  <c r="M179" i="31"/>
  <c r="P179" i="31" s="1"/>
  <c r="K187" i="31"/>
  <c r="M187" i="31"/>
  <c r="P187" i="31" s="1"/>
  <c r="K195" i="31"/>
  <c r="M195" i="31"/>
  <c r="P195" i="31" s="1"/>
  <c r="M201" i="31"/>
  <c r="P201" i="31" s="1"/>
  <c r="K201" i="31"/>
  <c r="P206" i="31"/>
  <c r="M217" i="31"/>
  <c r="P217" i="31" s="1"/>
  <c r="K217" i="31"/>
  <c r="M161" i="31"/>
  <c r="P161" i="31" s="1"/>
  <c r="K161" i="31"/>
  <c r="P162" i="31"/>
  <c r="M169" i="31"/>
  <c r="P169" i="31" s="1"/>
  <c r="K169" i="31"/>
  <c r="M177" i="31"/>
  <c r="P177" i="31" s="1"/>
  <c r="K177" i="31"/>
  <c r="M185" i="31"/>
  <c r="P185" i="31" s="1"/>
  <c r="K185" i="31"/>
  <c r="M193" i="31"/>
  <c r="P193" i="31" s="1"/>
  <c r="K193" i="31"/>
  <c r="M205" i="31"/>
  <c r="P205" i="31" s="1"/>
  <c r="K205" i="31"/>
  <c r="P210" i="31"/>
  <c r="M221" i="31"/>
  <c r="P221" i="31" s="1"/>
  <c r="K221" i="31"/>
  <c r="M199" i="31"/>
  <c r="P199" i="31" s="1"/>
  <c r="M203" i="31"/>
  <c r="P203" i="31" s="1"/>
  <c r="M207" i="31"/>
  <c r="P207" i="31" s="1"/>
  <c r="M211" i="31"/>
  <c r="P211" i="31" s="1"/>
  <c r="M215" i="31"/>
  <c r="P215" i="31" s="1"/>
  <c r="M219" i="31"/>
  <c r="P219" i="31" s="1"/>
  <c r="M223" i="31"/>
  <c r="P223" i="31" s="1"/>
  <c r="M18" i="31"/>
  <c r="P18" i="31" s="1"/>
  <c r="P22" i="57" l="1"/>
  <c r="P73" i="57" s="1"/>
  <c r="E20" i="62" s="1"/>
  <c r="M73" i="57"/>
  <c r="F20" i="62" s="1"/>
  <c r="M64" i="58"/>
  <c r="F21" i="62" s="1"/>
  <c r="P64" i="58"/>
  <c r="E21" i="62" s="1"/>
  <c r="P18" i="54"/>
  <c r="P29" i="54" s="1"/>
  <c r="E17" i="62" s="1"/>
  <c r="M29" i="54"/>
  <c r="F17" i="62" s="1"/>
  <c r="P24" i="60"/>
  <c r="P18" i="59"/>
  <c r="P25" i="59" s="1"/>
  <c r="E22" i="62" s="1"/>
  <c r="M25" i="59"/>
  <c r="F22" i="62" s="1"/>
  <c r="M36" i="53"/>
  <c r="F16" i="62" s="1"/>
  <c r="P21" i="53"/>
  <c r="P36" i="53" s="1"/>
  <c r="E16" i="62" s="1"/>
  <c r="P28" i="52"/>
  <c r="P71" i="52" s="1"/>
  <c r="E15" i="62" s="1"/>
  <c r="M71" i="52"/>
  <c r="F15" i="62" s="1"/>
  <c r="P61" i="31"/>
  <c r="P36" i="31"/>
  <c r="M226" i="31"/>
  <c r="F14" i="62" s="1"/>
  <c r="P129" i="31"/>
  <c r="P226" i="31" l="1"/>
  <c r="E14" i="62" s="1"/>
  <c r="E40" i="56" l="1"/>
  <c r="E28" i="56"/>
  <c r="E20" i="56"/>
  <c r="E55" i="55"/>
  <c r="E42" i="55"/>
  <c r="E41" i="55"/>
  <c r="E40" i="55"/>
  <c r="E39" i="55"/>
  <c r="E36" i="55"/>
  <c r="E30" i="55"/>
  <c r="E23" i="55"/>
  <c r="E21" i="55"/>
  <c r="E19" i="55"/>
  <c r="N21" i="55" l="1"/>
  <c r="M21" i="55"/>
  <c r="L21" i="55"/>
  <c r="O21" i="55"/>
  <c r="E29" i="55"/>
  <c r="L23" i="55"/>
  <c r="O23" i="55"/>
  <c r="N23" i="55"/>
  <c r="M23" i="55"/>
  <c r="O40" i="55"/>
  <c r="L40" i="55"/>
  <c r="N40" i="55"/>
  <c r="M40" i="55"/>
  <c r="N20" i="56"/>
  <c r="L20" i="56"/>
  <c r="O20" i="56"/>
  <c r="M20" i="56"/>
  <c r="O39" i="55"/>
  <c r="L39" i="55"/>
  <c r="N39" i="55"/>
  <c r="M39" i="55"/>
  <c r="O55" i="55"/>
  <c r="N55" i="55"/>
  <c r="L55" i="55"/>
  <c r="M55" i="55"/>
  <c r="N30" i="55"/>
  <c r="L30" i="55"/>
  <c r="O30" i="55"/>
  <c r="M30" i="55"/>
  <c r="O41" i="55"/>
  <c r="N41" i="55"/>
  <c r="L41" i="55"/>
  <c r="M41" i="55"/>
  <c r="E30" i="56"/>
  <c r="L28" i="56"/>
  <c r="O28" i="56"/>
  <c r="N28" i="56"/>
  <c r="M28" i="56"/>
  <c r="L19" i="55"/>
  <c r="O19" i="55"/>
  <c r="N19" i="55"/>
  <c r="M19" i="55"/>
  <c r="O36" i="55"/>
  <c r="L36" i="55"/>
  <c r="N36" i="55"/>
  <c r="M36" i="55"/>
  <c r="L42" i="55"/>
  <c r="O42" i="55"/>
  <c r="N42" i="55"/>
  <c r="M42" i="55"/>
  <c r="L40" i="56"/>
  <c r="O40" i="56"/>
  <c r="N40" i="56"/>
  <c r="M40" i="56"/>
  <c r="E48" i="60"/>
  <c r="E46" i="60"/>
  <c r="E43" i="60"/>
  <c r="E38" i="60"/>
  <c r="E36" i="60"/>
  <c r="E29" i="60"/>
  <c r="E28" i="60"/>
  <c r="E22" i="60"/>
  <c r="P42" i="55" l="1"/>
  <c r="P36" i="55"/>
  <c r="P19" i="55"/>
  <c r="P40" i="56"/>
  <c r="P28" i="56"/>
  <c r="O22" i="60"/>
  <c r="N22" i="60"/>
  <c r="L22" i="60"/>
  <c r="M22" i="60"/>
  <c r="O29" i="60"/>
  <c r="N29" i="60"/>
  <c r="L29" i="60"/>
  <c r="M29" i="60"/>
  <c r="P29" i="60" s="1"/>
  <c r="N46" i="60"/>
  <c r="M46" i="60"/>
  <c r="L46" i="60"/>
  <c r="O46" i="60"/>
  <c r="P46" i="60" s="1"/>
  <c r="N36" i="60"/>
  <c r="L36" i="60"/>
  <c r="O36" i="60"/>
  <c r="M36" i="60"/>
  <c r="P36" i="60" s="1"/>
  <c r="O48" i="60"/>
  <c r="N48" i="60"/>
  <c r="L48" i="60"/>
  <c r="M48" i="60"/>
  <c r="L38" i="60"/>
  <c r="O38" i="60"/>
  <c r="N38" i="60"/>
  <c r="M38" i="60"/>
  <c r="N30" i="56"/>
  <c r="N43" i="56" s="1"/>
  <c r="G19" i="62" s="1"/>
  <c r="L30" i="56"/>
  <c r="L43" i="56" s="1"/>
  <c r="I19" i="62" s="1"/>
  <c r="O30" i="56"/>
  <c r="O43" i="56" s="1"/>
  <c r="H19" i="62" s="1"/>
  <c r="M30" i="56"/>
  <c r="P30" i="56" s="1"/>
  <c r="P21" i="55"/>
  <c r="L28" i="60"/>
  <c r="O28" i="60"/>
  <c r="N28" i="60"/>
  <c r="N50" i="60" s="1"/>
  <c r="G23" i="62" s="1"/>
  <c r="M28" i="60"/>
  <c r="N43" i="60"/>
  <c r="L43" i="60"/>
  <c r="O43" i="60"/>
  <c r="M43" i="60"/>
  <c r="P41" i="55"/>
  <c r="P30" i="55"/>
  <c r="P55" i="55"/>
  <c r="P39" i="55"/>
  <c r="P20" i="56"/>
  <c r="P40" i="55"/>
  <c r="P23" i="55"/>
  <c r="E31" i="55"/>
  <c r="N29" i="55"/>
  <c r="M29" i="55"/>
  <c r="L29" i="55"/>
  <c r="O29" i="55"/>
  <c r="P43" i="56" l="1"/>
  <c r="E19" i="62" s="1"/>
  <c r="M43" i="56"/>
  <c r="F19" i="62" s="1"/>
  <c r="P48" i="60"/>
  <c r="O50" i="60"/>
  <c r="H23" i="62" s="1"/>
  <c r="L50" i="60"/>
  <c r="I23" i="62" s="1"/>
  <c r="M50" i="60"/>
  <c r="F23" i="62" s="1"/>
  <c r="P22" i="60"/>
  <c r="P29" i="55"/>
  <c r="P38" i="60"/>
  <c r="L31" i="55"/>
  <c r="L75" i="55" s="1"/>
  <c r="I18" i="62" s="1"/>
  <c r="I25" i="62" s="1"/>
  <c r="E10" i="62" s="1"/>
  <c r="O31" i="55"/>
  <c r="O75" i="55" s="1"/>
  <c r="H18" i="62" s="1"/>
  <c r="H25" i="62" s="1"/>
  <c r="N31" i="55"/>
  <c r="N75" i="55" s="1"/>
  <c r="G18" i="62" s="1"/>
  <c r="G25" i="62" s="1"/>
  <c r="M31" i="55"/>
  <c r="M75" i="55" s="1"/>
  <c r="F18" i="62" s="1"/>
  <c r="P43" i="60"/>
  <c r="P28" i="60"/>
  <c r="F25" i="62" l="1"/>
  <c r="P50" i="60"/>
  <c r="E23" i="62" s="1"/>
  <c r="P31" i="55"/>
  <c r="P75" i="55" s="1"/>
  <c r="E18" i="62" s="1"/>
  <c r="E25" i="62" l="1"/>
  <c r="E28" i="62" s="1"/>
  <c r="E26" i="62"/>
  <c r="E27" i="62" s="1"/>
  <c r="E29" i="62" l="1"/>
  <c r="E12" i="61" l="1"/>
  <c r="E13" i="61" s="1"/>
  <c r="E14" i="61" s="1"/>
  <c r="E15" i="61" s="1"/>
  <c r="E9" i="62"/>
</calcChain>
</file>

<file path=xl/sharedStrings.xml><?xml version="1.0" encoding="utf-8"?>
<sst xmlns="http://schemas.openxmlformats.org/spreadsheetml/2006/main" count="1916" uniqueCount="1127">
  <si>
    <t>m</t>
  </si>
  <si>
    <t>Nr.p.k.</t>
  </si>
  <si>
    <t>Mērvienība</t>
  </si>
  <si>
    <t>Daudzums</t>
  </si>
  <si>
    <t>kg</t>
  </si>
  <si>
    <t>t</t>
  </si>
  <si>
    <t>1-1-2</t>
  </si>
  <si>
    <t>1-1-3</t>
  </si>
  <si>
    <t>1-1-4</t>
  </si>
  <si>
    <t>1-1-5</t>
  </si>
  <si>
    <t>1-1-6</t>
  </si>
  <si>
    <t>1-1-7</t>
  </si>
  <si>
    <t>1-1-1</t>
  </si>
  <si>
    <t xml:space="preserve">Vispārējie būvdarbi </t>
  </si>
  <si>
    <t>1-1</t>
  </si>
  <si>
    <t>Būvgružu savākšana (nešķirotie būvgruži)</t>
  </si>
  <si>
    <t>m³</t>
  </si>
  <si>
    <t>Pasūtījuma Nr. :</t>
  </si>
  <si>
    <t>gb.</t>
  </si>
  <si>
    <t>kpl.</t>
  </si>
  <si>
    <t>m²</t>
  </si>
  <si>
    <t>Stiegrošana ar armatūru (armatūra B500B (AIII);  siešanas stieple, distanceri;  palīgmateriāli)</t>
  </si>
  <si>
    <t>gb</t>
  </si>
  <si>
    <t>BŪVGRUŽI</t>
  </si>
  <si>
    <t>Būvdarbu nosaukums</t>
  </si>
  <si>
    <t>(būvdarbu veids vai konstruktīvā elementa nosaukums)</t>
  </si>
  <si>
    <t>ZEMES DARBI</t>
  </si>
  <si>
    <t>Būvdarbu apjomu saraksts Nr.1</t>
  </si>
  <si>
    <t>Apjomi sastādīti, pamatojoties uz AR, BK daļas rasējumiem.</t>
  </si>
  <si>
    <t>Autoceltnis</t>
  </si>
  <si>
    <t>Pacēlājs</t>
  </si>
  <si>
    <t>Būvdarbu apjomu saraksts Nr.2</t>
  </si>
  <si>
    <t>Apjomi sastādīti, pamatojoties uz EL daļas rasējumiem.</t>
  </si>
  <si>
    <t>Būvdarbu apjomu saraksts Nr.3</t>
  </si>
  <si>
    <t>kpl</t>
  </si>
  <si>
    <t>Būvdarbu apjomu saraksts Nr.4</t>
  </si>
  <si>
    <t>Būvdarbu apjomu saraksts Nr.5</t>
  </si>
  <si>
    <t>Būvdarbu apjomu saraksts Nr.6</t>
  </si>
  <si>
    <t>Sagatavošanas darbi</t>
  </si>
  <si>
    <t>Izpilddokumentācijas sagatavošana</t>
  </si>
  <si>
    <t>Mobilizācija un sagatavošanās būvdarbu veikšanai</t>
  </si>
  <si>
    <t xml:space="preserve">Satiksmes organizācija būvdarbu laikā </t>
  </si>
  <si>
    <t>Uzmērīšana un nospraušana</t>
  </si>
  <si>
    <t xml:space="preserve">m </t>
  </si>
  <si>
    <t>Zemes darbi</t>
  </si>
  <si>
    <t>Būvdarbu apjomu saraksts Nr.8</t>
  </si>
  <si>
    <t>Noraktās/neizstrādātās grunts iekraušana pašizgāzējos (K=1,25), pārvietošana pasūtītāja norādītajā atbērtnē</t>
  </si>
  <si>
    <t>GRĪDAS</t>
  </si>
  <si>
    <t>Apjomi sastādīti, pamatojoties uz UK daļas rasējumiem.</t>
  </si>
  <si>
    <t>Kores elementu uzstādīšana (iepriekš izgatavoti kores elementi no krāsota skārda; skrūves ar blīvējumu, palīgmateriāli)</t>
  </si>
  <si>
    <t>BŪVLAUKUMA SAGATAVOŠANAS DARBI</t>
  </si>
  <si>
    <t>Būvlaukuma ierīkošana</t>
  </si>
  <si>
    <t>Būvtāfeles izgatavošana un montāža</t>
  </si>
  <si>
    <t>Mobīlā žoga h=1,8m montāža, demontāža</t>
  </si>
  <si>
    <t>Pagaidu norāžu – ceļa zīmju izvietošana saskaņojot ar pasūtītāju</t>
  </si>
  <si>
    <t>Pagaidu ugunsdrošības stendu montāža</t>
  </si>
  <si>
    <t>Pagaidu prožektori būvlaukumā</t>
  </si>
  <si>
    <t>Pagaidu elektropieslēgums un skaitītājs</t>
  </si>
  <si>
    <t>1-1-8</t>
  </si>
  <si>
    <t>Ūdens skaitītāja uzstādīšana</t>
  </si>
  <si>
    <t>1-1-9</t>
  </si>
  <si>
    <t>Kantora telpas moduļa uzstādīšana, demontāža, ieskaitot transporta un celšanas mehānismu izmaksas</t>
  </si>
  <si>
    <t>1-1-10</t>
  </si>
  <si>
    <t>Sadzīves telpas moduļa uzstādīšana, demontāža, ieskaitot transporta un celšanas mehānismu izmaksas</t>
  </si>
  <si>
    <t>1-1-11</t>
  </si>
  <si>
    <t>1-1-12</t>
  </si>
  <si>
    <t>Instrumentu noliktavas moduļa uzstādīšana, demontāža, ieskaitot transporta un celšanas mehānismu izmaksas</t>
  </si>
  <si>
    <t>1-1-13</t>
  </si>
  <si>
    <t xml:space="preserve">BIO tualetes modulis 1gb. uzstādīšana, demontāža, ieskaitot transporta un celšanas mehānismu izmaksas </t>
  </si>
  <si>
    <t>1-1-14</t>
  </si>
  <si>
    <t>1-1-15</t>
  </si>
  <si>
    <t>Būvlaukuma uzturēšana</t>
  </si>
  <si>
    <t>1-1-16</t>
  </si>
  <si>
    <t>mēn.</t>
  </si>
  <si>
    <t>1-1-17</t>
  </si>
  <si>
    <t>Kantora telpas moduļa (2,5x6m) noma, 1gab.</t>
  </si>
  <si>
    <t>1-1-18</t>
  </si>
  <si>
    <t>1-1-19</t>
  </si>
  <si>
    <t>1-1-20</t>
  </si>
  <si>
    <t>1-1-21</t>
  </si>
  <si>
    <t>BIO tualetes moduļa apkalpošana, noma 1gb.</t>
  </si>
  <si>
    <t>1-1-22</t>
  </si>
  <si>
    <t>Objekta apsardze</t>
  </si>
  <si>
    <t>1-1-23</t>
  </si>
  <si>
    <t>Sadzīves atkritumu konteineru izvešana, noma 1gb.</t>
  </si>
  <si>
    <t>1-1-24</t>
  </si>
  <si>
    <t>Maksa par elektroenerģiju</t>
  </si>
  <si>
    <t xml:space="preserve">Maksa par ūdeni </t>
  </si>
  <si>
    <t>Apjomi sastādīti, pamatojoties uz ELT daļas rasējumiem.</t>
  </si>
  <si>
    <t>Apjomi sastādīti, pamatojoties uz LKT daļas rasējumiem.</t>
  </si>
  <si>
    <t>Sadzīves telpas moduļa (2,5x6m) noma, 1gab.</t>
  </si>
  <si>
    <t>8-1</t>
  </si>
  <si>
    <t>8-1-1</t>
  </si>
  <si>
    <t>8-1-2</t>
  </si>
  <si>
    <t>8-1-3</t>
  </si>
  <si>
    <t>8-1-4</t>
  </si>
  <si>
    <t>8-1-5</t>
  </si>
  <si>
    <t>8-1-6</t>
  </si>
  <si>
    <t>8-1-7</t>
  </si>
  <si>
    <t>8-1-8</t>
  </si>
  <si>
    <t>8-1-9</t>
  </si>
  <si>
    <t>8-1-10</t>
  </si>
  <si>
    <t>8-1-11</t>
  </si>
  <si>
    <t>8-1-12</t>
  </si>
  <si>
    <t>8-1-13</t>
  </si>
  <si>
    <t>8-1-14</t>
  </si>
  <si>
    <r>
      <t>m</t>
    </r>
    <r>
      <rPr>
        <vertAlign val="superscript"/>
        <sz val="10"/>
        <color indexed="8"/>
        <rFont val="Arial"/>
        <family val="2"/>
        <charset val="186"/>
      </rPr>
      <t>2</t>
    </r>
  </si>
  <si>
    <t>Būvdarbu apjomu saraksts Nr.7</t>
  </si>
  <si>
    <t>1-2</t>
  </si>
  <si>
    <t>1-3</t>
  </si>
  <si>
    <t>1-4</t>
  </si>
  <si>
    <t>1-5</t>
  </si>
  <si>
    <r>
      <t>m</t>
    </r>
    <r>
      <rPr>
        <vertAlign val="superscript"/>
        <sz val="10"/>
        <rFont val="Arial"/>
        <family val="2"/>
        <charset val="186"/>
      </rPr>
      <t>3</t>
    </r>
  </si>
  <si>
    <t>Ēkas apmales izbūve</t>
  </si>
  <si>
    <t>7-1</t>
  </si>
  <si>
    <t>7-1-1</t>
  </si>
  <si>
    <t>7-1-2</t>
  </si>
  <si>
    <t>7-1-3</t>
  </si>
  <si>
    <t>7-1-4</t>
  </si>
  <si>
    <t>7-1-5</t>
  </si>
  <si>
    <t>1-2-27</t>
  </si>
  <si>
    <t>1-2-28</t>
  </si>
  <si>
    <t>1-2-29</t>
  </si>
  <si>
    <t>1-2-30</t>
  </si>
  <si>
    <t>1-2-31</t>
  </si>
  <si>
    <t>1-3-37</t>
  </si>
  <si>
    <t>1-3-38</t>
  </si>
  <si>
    <t>1-5-66</t>
  </si>
  <si>
    <t>1-5-67</t>
  </si>
  <si>
    <t>1-5-68</t>
  </si>
  <si>
    <t>1-5-69</t>
  </si>
  <si>
    <t>1-5-70</t>
  </si>
  <si>
    <t>1-5-71</t>
  </si>
  <si>
    <t>1-5-72</t>
  </si>
  <si>
    <t>1-5-73</t>
  </si>
  <si>
    <t>1-5-74</t>
  </si>
  <si>
    <t>1-5-75</t>
  </si>
  <si>
    <t>1-5-76</t>
  </si>
  <si>
    <t>1-5-77</t>
  </si>
  <si>
    <t>1-5-78</t>
  </si>
  <si>
    <t>1-5-79</t>
  </si>
  <si>
    <t>1-6</t>
  </si>
  <si>
    <t>1-7</t>
  </si>
  <si>
    <t>1-7-101</t>
  </si>
  <si>
    <t>1-7-102</t>
  </si>
  <si>
    <t>1-8</t>
  </si>
  <si>
    <t>1-9</t>
  </si>
  <si>
    <t>1-10</t>
  </si>
  <si>
    <t>1-11</t>
  </si>
  <si>
    <t>1-12</t>
  </si>
  <si>
    <r>
      <t>Objekta nosaukums :</t>
    </r>
    <r>
      <rPr>
        <b/>
        <sz val="10"/>
        <rFont val="Arial"/>
        <family val="2"/>
        <charset val="186"/>
      </rPr>
      <t>KLUBA ĒKAS PĀRBŪVE (telpu paplašināšana)</t>
    </r>
  </si>
  <si>
    <r>
      <t>Būves nosaukums :</t>
    </r>
    <r>
      <rPr>
        <b/>
        <sz val="10"/>
        <rFont val="Arial"/>
        <family val="2"/>
        <charset val="186"/>
      </rPr>
      <t xml:space="preserve">   KLUBA ĒKAS PĀRBŪVE (telpu paplašināšana)</t>
    </r>
  </si>
  <si>
    <r>
      <t>Objekta adrese :</t>
    </r>
    <r>
      <rPr>
        <b/>
        <sz val="10"/>
        <rFont val="Arial"/>
        <family val="2"/>
        <charset val="186"/>
      </rPr>
      <t xml:space="preserve">  Tilta iela 14, Lubāna, Lubānas novads, LV-4830</t>
    </r>
  </si>
  <si>
    <t>Iespējamā grunts ūdens vai lietus ūdens līmeņa pazemināšanas darbi</t>
  </si>
  <si>
    <t>Būvgružu konteineru (8m3) izvešana, noma 2gb.</t>
  </si>
  <si>
    <t>Uzmērīšana, asu nospraušana</t>
  </si>
  <si>
    <t>Augu zemes noņemšana, Hvid=30cm</t>
  </si>
  <si>
    <r>
      <t>m</t>
    </r>
    <r>
      <rPr>
        <vertAlign val="superscript"/>
        <sz val="10"/>
        <rFont val="Arial"/>
        <family val="2"/>
      </rPr>
      <t>3</t>
    </r>
  </si>
  <si>
    <t xml:space="preserve">Tranšeju un būvbedru rakšana  mehanizēti </t>
  </si>
  <si>
    <t>Tranšeju un būvbedru rakšana  izmantojot roku darbu</t>
  </si>
  <si>
    <t>Pamatu apbēršana ar smilti pēc to izbūves mehanizēti, blīvējot pa kārtām 150-200mm (vidēji rupja smilts, filtr. koef. &gt;1/mdnn,)</t>
  </si>
  <si>
    <t>Pamatu apbēršana ar smilti pēc to izbūves, izmantojot roku darbu, blīvējot pa kārtām 150-200mm (vidēji rupja smilts, filtr. koef. &gt;1/mdnn,)</t>
  </si>
  <si>
    <t>DEMONTĀŽAS DARBI</t>
  </si>
  <si>
    <t>Esošā betona lieveņa demontāža</t>
  </si>
  <si>
    <t>Esošā skārda profillokšņu un koka konstrukcijas ieejas jumtiņa demontāža</t>
  </si>
  <si>
    <t>Esošo PVC logu ar palodzēm demontāža</t>
  </si>
  <si>
    <t>Esošo koka iekšdurvju un ārdurvju demontāža</t>
  </si>
  <si>
    <t>Esošo fasāžu koka paneļu apšuvuma demontāža</t>
  </si>
  <si>
    <t>Ailu izzāģēšana esošajās koka stāvvbūves ārsienās -  projektēto durvju vietās</t>
  </si>
  <si>
    <t>Esošo skārda noteku demontāža</t>
  </si>
  <si>
    <t>PAMATI</t>
  </si>
  <si>
    <t>Šķembu pamatne blietējot h=100mm zem pamatiem, izmantojot roku darbu (šķembas fr-10-40mm)</t>
  </si>
  <si>
    <t>Veidņu montāža demontāža (saliekamie inventārveidņi; palīgmateriāli)</t>
  </si>
  <si>
    <t>Betonēšana (betons C20/25, betona sūknis; betonēšanas palīgmateriāli)</t>
  </si>
  <si>
    <t>Horizontālā hidroizolācija (uzlīmējams ruļļu materiāls, bituma mastika, palīgmateriāli)</t>
  </si>
  <si>
    <t>Vertikālā hidroizolācija divās kārtās ar bituma mastiku no ārpuses (bituma mastika, palīgmateriāli)</t>
  </si>
  <si>
    <t>Pamatu siltināšana ar putuplasta siltumizolācijas plāksnēm (putuplasta siltumizolācijas plāksnes EPS 150 t=100mm; PU līme ; palīgmateriāli)</t>
  </si>
  <si>
    <t>Deformācijas šuves izveide starp esošajām un projektētajām pamatu konstrukcijām (putuplasta siltumizolācijas plāksnes EPS 150 t=30mm; PU līme; palīgmateriāli)</t>
  </si>
  <si>
    <t xml:space="preserve">SIENAS </t>
  </si>
  <si>
    <t>Sastatņu īre, montāža, demontāža</t>
  </si>
  <si>
    <t>Mūra sienas</t>
  </si>
  <si>
    <t>Monolītās joslas h=100mm</t>
  </si>
  <si>
    <t>Monolītās joslas h=160mm</t>
  </si>
  <si>
    <t>Monolīto joslu h=100 un h=160mm horizontālā hidroizolācija (uzlīmējams ruļļu materiāls, bituma mastika, palīgmateriāli)</t>
  </si>
  <si>
    <t>Pārsedzes</t>
  </si>
  <si>
    <t>Ailu aizpildījumi uz ass C</t>
  </si>
  <si>
    <t>Tērauda karkasa 100mm izbūve, izņemot apšūšanu ar ģipškartonu ( akmens vate 100mm, tērauda karkass CW/UW 100mm, amortizācijas lenta, kniedes, skrūves, dībeļi, blīvēšanas mastika, palīgmateriāli)</t>
  </si>
  <si>
    <t>Apšūšana 2 kārtās ar paaugstinātas ugunsnoturības ģipškartona loksnēm (riģipsis GKF, skrūves, šuvju tepe, sietlenta šuvēm, blīvēšanas mastika, palīgmateriāli)</t>
  </si>
  <si>
    <t>Ailu aizpildījumi uz ass B</t>
  </si>
  <si>
    <t>Ailas daļēja aizpildīšana ar koka konstrukcijas karkasu, ieskaitot siltumizolāciju ( imprignēti zāģmateriāli; akmens vate 50mm, akmens vate 150mm; skrūves, būvkalumi, tvaika izolācijas plēve, palīgmateriāli)</t>
  </si>
  <si>
    <t>Turpat apšūšana 2 kārtās ar standarta ģipškartona loksnēm no telpas iekšpuses (riģipsis GKB, skrūves, šuvju tepe, sietlenta šuvēm, blīvēšanas mastika, palīgmateriāli)</t>
  </si>
  <si>
    <t>Turpat sienu gruntēšana, špaktelēšana, slīpēšana (dziļā grunts minerālām virsmām, universāla smalkgraudaina špakteļmasa, špakteļmasa šuvēm, šuvju siets, smilšpapīrs; palīgmateriāli)</t>
  </si>
  <si>
    <t>Turpat sienu krāsošana 2-3 reizes ar ūdens bāzes krāsu (viegli kopjama, tonēta ūdens dispersijas akrilāta krāsa, ūdens bāzes gruntskrāsa; palīgmateriāli)</t>
  </si>
  <si>
    <t>Iekšsienu apdare</t>
  </si>
  <si>
    <t>Iekšsienu gruntēšana, apmešana ar ģipša bāzes apmetumu (zemapmetuma grunts minerālām virsmām iekšdarbiem un ārdarbiem, ģipša bāzes apmetums, stiklašķiedras armējošais siets, palīgmateriāli)</t>
  </si>
  <si>
    <t>Sienu flīzēšana ieskaitot šuvju aizdari (gruntskrāsa, 1. šķiras keramikas sienas flīzes, flīžu līme, šuvju mastika, krustiņi, palīgmateriāli)</t>
  </si>
  <si>
    <t>Sienu gruntēšana, špaktelēšana, slīpēšana (dziļā grunts minerālām virsmām, universāla smalkgraudaina špakteļmasa, smilšpapīrs; palīgmateriāli)</t>
  </si>
  <si>
    <t>Sienu krāsošana 2-3 reizes ar ūdens bāzes krāsu (viegli kopjama, tonēta ūdens dispersijas akrilāta krāsa, ūdens bāzes gruntskrāsa; palīgmateriāli)</t>
  </si>
  <si>
    <t>Sienu apšūšana ar lakota saplākšņa loksnēm 12mm ieskaitot nesošā koka karkasa izbūvi (lakots finieris Riga Lacquer 12mm vai ekvivalents, ar antiseptiķi un antipirēnu apstrādāti zāģmateriāli, stiprinājumi, būvkalumi, palīgmateriāli)</t>
  </si>
  <si>
    <t>Alumīnija nesošā karkasa montāža akustiskajiem paneļiem (alumīnija profilu karkass, distanceri, skrūves, dībeļi, montāžas palīgmateriāli)</t>
  </si>
  <si>
    <t>Akustisko paneļu montāža (Akustiksais sienu panelis-A klases skaņu absorbējošs 40mm biezs stikla vates materiāls (EN ISO 11654) 2700x600x40mm ar tekstila pārklājumu. Absorbcijas spējas- 250Hz=0,8, bet 500Hz-4000Hz=1, stiprinājumi, palīgmateriāli)</t>
  </si>
  <si>
    <t>Ailu sānmalu apdare</t>
  </si>
  <si>
    <t>Ailu sānmalu gruntēšana, apmešana ar ģipša bāzes apmetumu (zemapmetuma grunts minerālām virsmām iekšdarbiem un ārdarbiem, ģipša bāzes apmetums, stiklašķiedras armējošais siets, palīgmateriāli)</t>
  </si>
  <si>
    <t>Ailu špaktelēšana, slīpēšana (universālā špakteļmasa, šuvju špakteļmasa, sietlenta, papīra lenta, smilšpapīrs; palīgmateriāli)</t>
  </si>
  <si>
    <t>Ailu gruntēšana un krāsošana ar ūdens bāzes krāsu (tonēta ūdens dispersijas akrilāta krāsa, ūdens bāzes gruntskrāsa; palīgmateriāli)</t>
  </si>
  <si>
    <t>Ailu sānmalu apšūšana ar lakota saplākšņa loksnēm 12mm ieskaitot nesošā koka karkasa izbūvi (lakots finieris Riga Lacquer 12mm vai ekvivalents, ar antiseptiķi un antipirēnu apstrādāti zāģmateriāli, stiprinājumi, būvkalumi, palīgmateriāli)</t>
  </si>
  <si>
    <t>GRIESTI</t>
  </si>
  <si>
    <t xml:space="preserve">Moduļtipa minerālšķiedras griesti </t>
  </si>
  <si>
    <t>Tērauda karkasa montāža (tērauda iekares karkass, distanceri, skrūves, dībeļi, montāžas palīgmateriāli)</t>
  </si>
  <si>
    <t>Moduļtipa griestu montāža (Moduļtipa minerālšķiedras griesti 600x1200mm, palīgmateriāli)</t>
  </si>
  <si>
    <t xml:space="preserve">Ģipškartona griesti </t>
  </si>
  <si>
    <t>Griestu apšūšana 2 kārtās ar paaugstinātas ugunsnoturības ģipškartona loksnēm 18+15mm ieksaitot tērauda nesošā karkasa montāžu (tērauda karkass CD/UD, solis 400mm, skavas, skrūves, dībeļi, kniedes, amortizācijas lenta, riģipsis GKF 18+15mm, A2, vai ekvivalents, skrūves, šuvju tepe, sietlenta šuvēm, blīvēšanas mastika, palīgmateriāli)</t>
  </si>
  <si>
    <t>Krāsošanai paredzēto griestu špaktelēšana, slīpēšana (universāla, smalkgraudaina špakteļmasa, špakteļmasa šuvēm, šuvju siets, smilšpapīrs; palīgmateriāli)</t>
  </si>
  <si>
    <t>Špaktelēto griestu krāsošana 2-3 reizes ar ūdens bāzes krāsu (tonēta ūdens dispersijas akrilāta krāsa, ūdens bāzes gruntskrāsa; palīgmateriāli)</t>
  </si>
  <si>
    <t>Pastatņu īre, montāža, demontāža</t>
  </si>
  <si>
    <t xml:space="preserve">Gultnes planēšana mehanizēti </t>
  </si>
  <si>
    <t>Smilts pamatne 100mm, izmantojot roku darbu, blīvējot pa kārtām (vidēji rupja smilts, filtr. koef. &gt;1/mdnn,)</t>
  </si>
  <si>
    <t>Šķembu pamatne blietējot h=100mm, izmantojot roku darbu (šķembas fr-10-40mm)</t>
  </si>
  <si>
    <t>Putuplasta siltumizolācijas ieklāšana h=100mm (putuplasts EPS 150, b=50+50mm, palīgmateriāli)</t>
  </si>
  <si>
    <t>Hidroizolācijas plēves ieklāšana (celtniecības plēve 200mikroni, palīgmateriāli)</t>
  </si>
  <si>
    <t>Stiegrošana ar gatavu armatūras sietu (armatūras siets 5*150*150 B500B (AIII);  siešanas stieple, distanceri;  palīgmateriāli)</t>
  </si>
  <si>
    <t>Betona klona grīdu betonēšana h=70mm (betons klons (sausais betons), nosegplēve, perimetra lente, betona sūknis; betonēšanas palīgmateriāli)</t>
  </si>
  <si>
    <t>Svaigu betona klona grīdu slīpēšana mehanizēti, virsmas cietinātāja iestrāde (virsmas cietinātājs uz litija bāzes, betona slīpmašīnas noma, palīgmateriāli)</t>
  </si>
  <si>
    <t>Grīdu flīzēšana, ieskaitot šuvju aizdari (akmens masas grīdas flīzes 300x300x9mm, 1. šķira, biezums 9mm, virsma mat R9/A; flīžu līme; šuvju mastika; palīgmateriāli)</t>
  </si>
  <si>
    <t>Grīdlīstes</t>
  </si>
  <si>
    <t>Koka grīdlīstu montāža (krāsota koka grīdlīstes, stiprinājumi, skrūves)</t>
  </si>
  <si>
    <t>Pārejas līstu montāža grīdas segumu maiņas vietās (alumīnija pārejas līstes, stiprinājumi)</t>
  </si>
  <si>
    <t>Grīdlīstu flīzēšana h=100mm telpā Nr.26 (akmens masas grīdas flīzes 300x300, 1. šķira, biezums 9mm, virsma mat R9/A; flīžu līme; šuvju mastika; palīgmateriāli)</t>
  </si>
  <si>
    <t xml:space="preserve">JUMTA KONSTRUKCIJA UN SEGUMS </t>
  </si>
  <si>
    <t>Ēvelētu, lakotu koka mūrlatu, kopturu un latu montāža (ēvelēti, lakoti C24 klases zāģmateriāli ar mitruma saturu &lt;20%; enkuri, kokskrūves, stiprinājumi, palīgmateriāli)</t>
  </si>
  <si>
    <t>Jumta sendvičpaneļu 200mm montāža (jumta sendvičpanelis, 200mm, ʎ=0,04 W/mK, REI 60, A2-s1,d0, 31kg/m², Pildījums: minerālvate, hermētiķi; skrūves, stiprinājumi, palīgmateriāli)</t>
  </si>
  <si>
    <t>Teknes stiprinājuma profila montāža  (teknes stiprinājuma profils U 200mm, skrūves ar blīvējumu, palīgmateriāli)</t>
  </si>
  <si>
    <t>Karnīzes profila uzstādīšana  (iepriekš izgatavoti karnīzes elementi no krāsota skārda; skrūves ar blīvējumu, palīgmateriāli)</t>
  </si>
  <si>
    <t>Skārda vējmalu uzstādīšana (iepriekš izgatavoti vējmalu elementi no krāsota skārda t=0,5mm; skrūves ar blīvējumu, palīgmateriāli)</t>
  </si>
  <si>
    <t>Jumts-siena salaiduma lāseņa uzstādīšana  (iepriekš izgatavoti jumts-siena salaiduma lāseņa elementi no krāsota skārda; skrūves ar blīvējumu, palīgmateriāli)</t>
  </si>
  <si>
    <t>Sniega barjeras uzstādīšana  (iepriekš izgatavoti sniega aiztures elementi no krāsota skārda; skrūves ar blīvējumu, palīgmateriāli)</t>
  </si>
  <si>
    <t>Parapeta montāža (parapeta elements no krāsota skārda; skrūves ar blīvējumu, palīgmateriāli )</t>
  </si>
  <si>
    <t>Lietus ūdens noteku 80mm montāža no iepriekš izgatavotiem krāsota skārda elementiem ieskaitot veidgabalus un stiprinājuma elementus ( vertikālās notekcaurules Ø80mm=13m; līkumi Ø80mm-8gab; caurules stiprinājums fasādei -20gab; izplūdes līkums 80mm=5gb.; hermētiķi, kniedes, palīgmateriāli)</t>
  </si>
  <si>
    <t>Ieejas uzjumteņa uzstādīšana (krāsots, metāla konstrukcijas ieejas jumtiņš, izgatavots saskaņā ar projektu (skat. AR daļu), montāžas materiāli, palīgmateriāli)</t>
  </si>
  <si>
    <t>LOGI UN DURVIS</t>
  </si>
  <si>
    <t>Logi</t>
  </si>
  <si>
    <t>PVC konstrukcijas loga L-1.L, 1gab. (1150x1500(h)mm) montāža (verams/atgāžams+neverams PVC logs, loga rāmis U&lt;1,00 W/(m²xK), 
trīs stiklu pakete U&lt;0,8 W/(m²xK),
krāsa:no iekšpuses - balta, no ārpuses- balta, montāžas putas; stiprinājumu komplekts)</t>
  </si>
  <si>
    <t>PVC konstrukcijas loga L-1.K, 1gab. (1150x1500(h)mm) montāža (verams/atgāžams+neverams PVC logs, loga rāmis U&lt;1,00 W/(m²xK), 
trīs stiklu pakete U&lt;0,8 W/(m²xK),
krāsa:no iekšpuses - balta, no ārpuses- balta, montāžas putas; stiprinājumu komplekts)</t>
  </si>
  <si>
    <t>PVC konstrukcijas loga L-2.L, 1gab. (1100x1500(h)mm) montāža (verams/atgāžams+neverams PVC logs, , loga rāmis U&lt;1,00 W/(m²xK), 
trīs stiklu pakete U&lt;0,8 W/(m²xK),
krāsa:no iekšpuses - balta, no ārpuses- balta, montāžas putas; stiprinājumu komplekts)</t>
  </si>
  <si>
    <t>PVC konstrukcijas loga L-3.L, 3gab. (1350x1300(h)mm) montāža (verams/atgāžams PVC logs, loga rāmis U&lt;1,00 W/(m²xK), trīs stiklu pakete, apakšējā puse matēts pārklājums U&lt;0,8 W/(m²xK), krāsa: no iekšpuses - balta,
no ārpuses- balta, montāžas putas; stiprinājumu komplekts)</t>
  </si>
  <si>
    <t>PVC konstrukcijas loga L-3.K, 4gab. (1350x1300(h)mm) montāža (verams/atgāžams PVC logs, loga rāmis U&lt;1,00 W/(m²xK), trīs stiklu pakete, apakšējā puse matēts pārklājums U&lt;0,8 W/(m²xK), krāsa: no iekšpuses - balta,
no ārpuses- balta, montāžas putas; stiprinājumu komplekts)</t>
  </si>
  <si>
    <t>PVC konstrukcijas loga L-4, 1gab. (500x2070(h)mm) montāža (neverams PVC logs, divu stiklu pakete ar matētu pārklājumu, krāsa: balta, montāžas putas; stiprinājumu komplekts)</t>
  </si>
  <si>
    <t>Vitrīnas</t>
  </si>
  <si>
    <t>Koka konstrukcijas vitrīnas Vt-1, 1gb 2520x3000mm montāža, tai skaitā verama atgāžama sekcija 780x1560mm (Fasādes vitrīna - stiklota koka konstrukcija ar ALU piespiedējiem, uzliekamā stiklojuma sistēma (piem. Gutmann vai ekvivalents), trīs stiklu pakete U&lt;0,8 W/(m²xK),krāsa:no iekšpuses - balta, no ārpuses- balta, montāžas palīgmateriāli, putas, stiprinājumi)</t>
  </si>
  <si>
    <t>Koka konstrukcijas vitrīnas Vt-2, 1gb 1630x3000mm montāža (Fasādes vitrīna neverama - stiklota koka konstrukcija ar ALU piespiedējiem, uzliekamā stiklojuma sistēma (piem. Gutmann vai ekvivalents), trīs stiklu pakete U&lt;0,8 W/(m²xK),krāsa:no iekšpuses - balta, no ārpuses- balta, montāžas palīgmateriāli, putas, stiprinājumi)</t>
  </si>
  <si>
    <t>Durvis</t>
  </si>
  <si>
    <t>Durvju D-1, 4gb. (900x2070mm) montāža (Gludas finierētas koka konstrukcijas iekšdurvis ar slieksni, aplodu komplekts, ar slēdzeni, 32decibeli, montāžas palīgmateriāli, putas, stiprinājumi)</t>
  </si>
  <si>
    <t>Durvju D-3, 1gb. (800x2070mm) montāža (Gludas finierētas koka konstrukcijas iekšdurvis bez sliekšņa, aplodu komplekts, ar slēdzeni, montāžas palīgmateriāli, putas, stiprinājumi)</t>
  </si>
  <si>
    <t>Logu un vitrīnu blīvēšana</t>
  </si>
  <si>
    <t>Ārējās un iekšējās blīvējošās līmlentes montāža pa logu perimetru (ārējā līmlente Contega EXO a=120mm 73,2m vai ekvivalents; iekšējā līmlente Contega SL a=120mm 73,2m vai ekvivalents )</t>
  </si>
  <si>
    <t>Palodzes</t>
  </si>
  <si>
    <t>Skārda palodžu 200mm uzstādīšana logiem (iepriekš izgatavoti elementi no krāsota skārda t=0,5mm, a=200mm; stiprinājumu komplekts)</t>
  </si>
  <si>
    <t>Iekšējo koka palodžu 300mm uzstādīšana logiem (Palodzes pamatne izgatavota no 18mm bieza saplākšņa, bet snīpis no 40mm biezas masīvkoka līstes. Dubultais krustveida finierējums pasargā no izstrādājuma plaisāšanas. Palodze ir mitrumizturīga un tās virsma apstrādāta ar nodilumizturīgu laku. Palodzes gali ir finierēti un apstrādāti palodzes tonī; hermētiķi; montāžas putas, stiprinājumu komplekts)</t>
  </si>
  <si>
    <t>FASĀDES</t>
  </si>
  <si>
    <t>Akmens vates siltumizolācija 150mm ieskaitot dekoratīvo apdari</t>
  </si>
  <si>
    <t>Cokola profila montāža pirms siltināšanas (cinkota tērauda cokola profils a=150mm, dībeļskrūves, montāžas putas)</t>
  </si>
  <si>
    <t>Fasāžu siltināšana ar minerālvates siltumizolācijas plāksnēm atbilstoši ETAG 004 prasībām, ieskaitot visus fasāžu siltināšanas sistēmas profilus (akmens vates fasāžu siltumizolācijas plāksnes  t=150mm, λD&lt;0,038 W/mK;  dībeļnaglas siltumizolācijas plāksnēm; līmjava; stūru profili atbilstoši ETAG 004 prasībām; palīgmateriāli)</t>
  </si>
  <si>
    <t>Dekoratīvās ailu apdares (rustu) imitācijas izveide no akmens vates loksnēm ap logu un durvju ailēm, kopējot esošo dekoratīvo rustojumu. (cietās akmens vates fasāžu siltumizolācijas plāksnes  t=20mm, λD&lt;0,038 W/mK;  dībeļnaglas siltumizolācijas plāksnēm; līmjava; stūru profili atbilstoši ETAG 004 prasībām; palīgmateriāli)</t>
  </si>
  <si>
    <t>Gludo fasāžu armēšana ar  stiklašķiedras sietu līmjavā t=6mm,  (armējošais stiklšķiedras siets fasādēm; līmjava, palīgmateriāli)</t>
  </si>
  <si>
    <t>Rustoto fasāžu armēšana ar  stiklašķiedras sietu līmjavā t=6mm,  (armējošais stiklšķiedras siets fasādēm; līmjava, palīgmateriāli)</t>
  </si>
  <si>
    <t>Gludo un rustoto fasāžu gruntēšana pirms nobeiguma apmetuma (gruntskrāsa minerālām fasādēm, palīgmateriāli)</t>
  </si>
  <si>
    <t>Fasāžu ar rustiem apmešana ar cementa bāzes apmetumu (cementa bāzes apmetums ārdarbiem, stiklašķiedras armējošais siets cementa bāzes apmetumiem, palīgmateriāli)</t>
  </si>
  <si>
    <t>Gludo fasāžu apmešana ar cementa bāzes apmetumu ( cementa bāzes apmetums ārdarbiem, stiklašķiedras armējošais siets cementa bāzes apmetumiem, palīgmateriāli)</t>
  </si>
  <si>
    <t>Gludo un rustoto fasāžu gruntēšana pirms krāsošanas (gruntskrāsa minerālām fasāžu virsmām)</t>
  </si>
  <si>
    <t>Gludo un rustoto fasāžu krāsošana ar silikona sveķu krāsu 2-3 reizes (tonēta silikona sveķu krāsa, palīgmateriāli)</t>
  </si>
  <si>
    <t>Koka paneļu apdare</t>
  </si>
  <si>
    <t>Fasāžu apdare ar koka paneļiem, ieskaitot nesošo koka karkasu (ēvelēti ārējās apdares dēļi, ar antipirēnu un antiseptiķi apstrādāti C24 klases zāģmateriāli ar mitruma saturu &lt;20 %; būvkalumi, bultskrūves, stiprinājumi, palīgmateriāli)</t>
  </si>
  <si>
    <t>Koka paneļu gruntēšana (gruntskrāsa ārdarbiem, koka virsmām, palīgmateriāli)</t>
  </si>
  <si>
    <t>Koka paneļu krāsošana (lazējoša krāsa ārdarbiem, koka virsmām, palīgmateriāli)</t>
  </si>
  <si>
    <t>Lāseņu uzstādīšana (iepriekš izgatavoti jumts-siena salaiduma lāseņa elementi no krāsota skārda; skrūves ar blīvējumu, palīgmateriāli)</t>
  </si>
  <si>
    <t>Ailu apdare fasādēs</t>
  </si>
  <si>
    <t>Ailu sānmalu armēšana ar  stiklašķiedras sietu līmjavā t=6mm,  (armējošais stiklšķiedras siets fasādēm; līmjava, palīgmateriāli)</t>
  </si>
  <si>
    <t>Ailu sānmalu apmešana ar cementa bāzes apmetumu (cementa bāzes apmetums ārdarbiem, stiklašķiedras armējošais siets cementa bāzes apmetumiem, palīgmateriāli)</t>
  </si>
  <si>
    <t>Ailu sānmalu gruntēšana pirms krāsošanas (gruntskrāsa minerālām fasāžu virsmām)</t>
  </si>
  <si>
    <t>Ailu sānmalu krāsošana ar silikona sveķu krāsu 2-3 reizes (tonēta silikona sveķu krāsa, palīgmateriāli)</t>
  </si>
  <si>
    <t>Esošās fasādes fragmenta atjaunošana uz ass B</t>
  </si>
  <si>
    <t>Fasāžu virsmas remonts ar cementa bāzes apmetumu (zemapmetuma grunts minerālām virsmām iekšdarbiem un ārdarbiem, cementa bāzes apmetums, stiklašķiedras armējošais siets cementa bāzes apmetumiem, palīgmateriāli)</t>
  </si>
  <si>
    <t>Fasāžu gruntēšana pirms krāsošanas (gruntskrāsa minerālām fasāžu virsmām)</t>
  </si>
  <si>
    <t>Fasāžu krāsošana ar silikona sveķu krāsu 2-3 reizes (tonēta silikona sveķu krāsa, palīgmateriāli)</t>
  </si>
  <si>
    <t xml:space="preserve">Siltināta koka ārsienu konstrukcija un šķiedrcementa lokšņu apšuvums </t>
  </si>
  <si>
    <t>Nesošā koka karkasa montāža  (ar antipirēnu un antiseptiķi apstrādāti  zāģmateriāli 150x150mm ar mitruma saturu &lt;20 %, būvkalumi, skrūves, stiprinājumi, palīgmateriāli)</t>
  </si>
  <si>
    <t>Vertikālā koka karkasa montāža  (ar antipirēnu un antiseptiķi apstrādāti  zāģmateriāli 30x100mm ar mitruma saturu &lt;20 %, būvkalumi, skrūves, stiprinājumi, palīgmateriāli)</t>
  </si>
  <si>
    <t>Horizontālā koka karkasa montāža  (ar antipirēnu un antiseptiķi apstrādāti  zāģmateriāli 50x50mm ar mitruma saturu &lt;20 %, būvkalumi, skrūves, stiprinājumi, palīgmateriāli)</t>
  </si>
  <si>
    <t>Siltumizolācijas lokšņu 150mm montāža (akmens vates loksnes 150mm, λD&lt;0,038 W/mK, palīgmateriāli)</t>
  </si>
  <si>
    <t>Vēja izolācijas lokšņu 50mm montāža (akmens vates pretvēja izolācijas loksnes 50mm, λD&lt;0,033 W/mK, vates stiprinājumi, palīgmateriāli)</t>
  </si>
  <si>
    <t>Siltumizolācijas lokšņu 50mm montāža (akmens vates loksnes 50mm, λD&lt;0,038 W/mK, palīgmateriāli)</t>
  </si>
  <si>
    <t>Tvaika plēves montāža (tvaika izolācijas plēve, palīgmateriāli)</t>
  </si>
  <si>
    <t>IEEJAS LIEVENIS</t>
  </si>
  <si>
    <t>Šķembu pamatne blietējot h=150mm, izmantojot roku darbu (šķembas fr-10-40mm)</t>
  </si>
  <si>
    <t>Betonēšana (betons C25/30, betona sūknis; betonēšanas palīgmateriāli)</t>
  </si>
  <si>
    <t>1-3-34</t>
  </si>
  <si>
    <t>1-3-35</t>
  </si>
  <si>
    <t>1-3-36</t>
  </si>
  <si>
    <t>1-5-50</t>
  </si>
  <si>
    <t>1-5-51</t>
  </si>
  <si>
    <t>1-5-52</t>
  </si>
  <si>
    <t>1-5-53</t>
  </si>
  <si>
    <t>1-5-54</t>
  </si>
  <si>
    <t>1-5-55</t>
  </si>
  <si>
    <t>1-5-56</t>
  </si>
  <si>
    <t>1-5-57</t>
  </si>
  <si>
    <t>1-5-58</t>
  </si>
  <si>
    <t>1-5-59</t>
  </si>
  <si>
    <t>1-5-60</t>
  </si>
  <si>
    <t>1-5-61</t>
  </si>
  <si>
    <t>1-5-62</t>
  </si>
  <si>
    <t>1-5-63</t>
  </si>
  <si>
    <t>1-5-64</t>
  </si>
  <si>
    <t>1-5-65</t>
  </si>
  <si>
    <t>1-5-80</t>
  </si>
  <si>
    <t>1-5-81</t>
  </si>
  <si>
    <t>1-5-82</t>
  </si>
  <si>
    <t>1-5-83</t>
  </si>
  <si>
    <t>1-5-84</t>
  </si>
  <si>
    <t>1-5-85</t>
  </si>
  <si>
    <t>1-5-86</t>
  </si>
  <si>
    <t>1-6-93</t>
  </si>
  <si>
    <t>1-6-94</t>
  </si>
  <si>
    <t>1-7-103</t>
  </si>
  <si>
    <t>1-7-104</t>
  </si>
  <si>
    <t>1-7-105</t>
  </si>
  <si>
    <t>1-7-106</t>
  </si>
  <si>
    <t>1-7-107</t>
  </si>
  <si>
    <t>1-8-114</t>
  </si>
  <si>
    <t>1-8-115</t>
  </si>
  <si>
    <t>1-8-116</t>
  </si>
  <si>
    <t>1-8-117</t>
  </si>
  <si>
    <t>1-8-118</t>
  </si>
  <si>
    <t>1-8-119</t>
  </si>
  <si>
    <t>1-8-120</t>
  </si>
  <si>
    <t>1-8-121</t>
  </si>
  <si>
    <t>1-8-122</t>
  </si>
  <si>
    <t>1-9-130</t>
  </si>
  <si>
    <t>1-9-131</t>
  </si>
  <si>
    <t>1-9-132</t>
  </si>
  <si>
    <t>1-9-133</t>
  </si>
  <si>
    <t>1-9-134</t>
  </si>
  <si>
    <t>1-9-135</t>
  </si>
  <si>
    <t>1-9-136</t>
  </si>
  <si>
    <t>1-9-137</t>
  </si>
  <si>
    <t>1-9-138</t>
  </si>
  <si>
    <t>1-9-139</t>
  </si>
  <si>
    <t>1-9-140</t>
  </si>
  <si>
    <t>1-9-141</t>
  </si>
  <si>
    <t>1-9-142</t>
  </si>
  <si>
    <t>1-9-143</t>
  </si>
  <si>
    <t>1-9-144</t>
  </si>
  <si>
    <t>1-9-145</t>
  </si>
  <si>
    <t>1-10-153</t>
  </si>
  <si>
    <t>1-10-154</t>
  </si>
  <si>
    <t>1-10-155</t>
  </si>
  <si>
    <t>1-10-156</t>
  </si>
  <si>
    <t>1-10-157</t>
  </si>
  <si>
    <t>1-10-158</t>
  </si>
  <si>
    <t>1-10-159</t>
  </si>
  <si>
    <t>1-10-160</t>
  </si>
  <si>
    <t>1-10-161</t>
  </si>
  <si>
    <t>1-10-162</t>
  </si>
  <si>
    <t>1-10-163</t>
  </si>
  <si>
    <t>1-10-164</t>
  </si>
  <si>
    <t>1-10-165</t>
  </si>
  <si>
    <t>1-10-166</t>
  </si>
  <si>
    <t>1-10-167</t>
  </si>
  <si>
    <t>1-10-168</t>
  </si>
  <si>
    <t>1-10-169</t>
  </si>
  <si>
    <t>1-10-170</t>
  </si>
  <si>
    <t>1-10-171</t>
  </si>
  <si>
    <t>1-10-172</t>
  </si>
  <si>
    <t>1-10-173</t>
  </si>
  <si>
    <t>1-10-174</t>
  </si>
  <si>
    <t>1-10-175</t>
  </si>
  <si>
    <t>1-10-176</t>
  </si>
  <si>
    <t>1-10-177</t>
  </si>
  <si>
    <t>1-10-178</t>
  </si>
  <si>
    <t>1-10-179</t>
  </si>
  <si>
    <t>1-10-180</t>
  </si>
  <si>
    <t>1-10-181</t>
  </si>
  <si>
    <t>1-10-182</t>
  </si>
  <si>
    <t>1-10-183</t>
  </si>
  <si>
    <t>1-10-184</t>
  </si>
  <si>
    <t>Elektroapgāde (iekšējā)</t>
  </si>
  <si>
    <t>Elektroapgāde (ārējā).</t>
  </si>
  <si>
    <t>Ugunsgrēka atklāšanas un trauksmes signalizācijas sistēma.</t>
  </si>
  <si>
    <t>Apjomi sastādīti, pamatojoties uz UATS daļas rasējumiem.</t>
  </si>
  <si>
    <t>Ūdensapgāde un kanalizācija (iekšējā).</t>
  </si>
  <si>
    <t>Lietus ūdens kanalizācijas tīkli.</t>
  </si>
  <si>
    <t>Siltummehānika</t>
  </si>
  <si>
    <t>Apjomi sastādīti, pamatojoties uz SM daļas rasējumiem.</t>
  </si>
  <si>
    <t>Ventilācija</t>
  </si>
  <si>
    <t>Apjomi sastādīti, pamatojoties uz AVK-V daļas rasējumiem.</t>
  </si>
  <si>
    <t>Būvdarbu apjomu saraksts Nr.9</t>
  </si>
  <si>
    <t>Apkure</t>
  </si>
  <si>
    <t>Apjomi sastādīti, pamatojoties uz AVK-A daļas rasējumiem.</t>
  </si>
  <si>
    <t>Būvdarbu apjomu saraksts Nr.10</t>
  </si>
  <si>
    <t>Ceļu darbi.</t>
  </si>
  <si>
    <t>Apjomi sastādīti, pamatojoties uz TS- CD daļas rasējumiem.</t>
  </si>
  <si>
    <r>
      <t>Betona bruģa seguma demontāža ar demontētā materiāla aizvešanu uz Pasūtītāja norādītu atbērtni attālumā līdz 10km, h</t>
    </r>
    <r>
      <rPr>
        <vertAlign val="subscript"/>
        <sz val="10"/>
        <color indexed="8"/>
        <rFont val="Arial"/>
        <family val="2"/>
        <charset val="186"/>
      </rPr>
      <t>vid</t>
    </r>
    <r>
      <rPr>
        <sz val="10"/>
        <color indexed="8"/>
        <rFont val="Arial"/>
        <family val="2"/>
        <charset val="186"/>
      </rPr>
      <t>=20cm</t>
    </r>
  </si>
  <si>
    <r>
      <t>Grants seguma demontāža ar demontētā materiāla aizvešanu uz Pasūtītāja norādītu atbērtni attālumā līdz 10km, h</t>
    </r>
    <r>
      <rPr>
        <vertAlign val="subscript"/>
        <sz val="10"/>
        <color indexed="8"/>
        <rFont val="Arial"/>
        <family val="2"/>
        <charset val="186"/>
      </rPr>
      <t>vid</t>
    </r>
    <r>
      <rPr>
        <sz val="10"/>
        <color indexed="8"/>
        <rFont val="Arial"/>
        <family val="2"/>
        <charset val="186"/>
      </rPr>
      <t>=15cm</t>
    </r>
  </si>
  <si>
    <t>Koku ciršana un celmu laušana,  kokmateriālus nododot zemes īpašniekam, atteikuma gadījumā aizvest uz Būvuzņēmēja atbērtni</t>
  </si>
  <si>
    <r>
      <t>Betona stabu demontāža ar demontētā materiāla aizvešanu uz Pasūtītāja norādītu atbērtni attālumā līdz 10km, h</t>
    </r>
    <r>
      <rPr>
        <vertAlign val="subscript"/>
        <sz val="10"/>
        <color indexed="8"/>
        <rFont val="Arial"/>
        <family val="2"/>
        <charset val="186"/>
      </rPr>
      <t>vid</t>
    </r>
    <r>
      <rPr>
        <sz val="10"/>
        <color indexed="8"/>
        <rFont val="Arial"/>
        <family val="2"/>
        <charset val="186"/>
      </rPr>
      <t>=20cm</t>
    </r>
  </si>
  <si>
    <t>Komunikāciju pārbūve</t>
  </si>
  <si>
    <t>Komunikāciju kabeļu iečaulošana dalīta tipa aizsargcaurulēs d=110 mm , 750N</t>
  </si>
  <si>
    <t>Augu zemes noņemšana, Hvid=20cm,  un aizvešana uz Būvuzņēmēja atbērtni</t>
  </si>
  <si>
    <t xml:space="preserve">Zemes klātnes ierakuma būvniecība, lieko grunti aizvedot uz Būvuzņēmēja atbērtni </t>
  </si>
  <si>
    <t xml:space="preserve">Ievalkas izbūve, hvid=0,3m, b=2,0m - 3,0, izrakto  grunti aizvedot uz Būvuzņēmēja atbērtni </t>
  </si>
  <si>
    <t>Brauktuves un nobrauktuvju seguma izbūve</t>
  </si>
  <si>
    <r>
      <t>Minerālmateriālu maisījums 0/45, h=15cm, AADT</t>
    </r>
    <r>
      <rPr>
        <vertAlign val="subscript"/>
        <sz val="10"/>
        <rFont val="Arial"/>
        <family val="2"/>
        <charset val="186"/>
      </rPr>
      <t xml:space="preserve"> j,smagie</t>
    </r>
    <r>
      <rPr>
        <sz val="10"/>
        <color indexed="8"/>
        <rFont val="Arial"/>
        <family val="2"/>
        <charset val="186"/>
      </rPr>
      <t xml:space="preserve"> &lt;100</t>
    </r>
  </si>
  <si>
    <t>Minerālmateriālu maisījums 0/32s, h=10cm, AADT j,pievesta &lt;500</t>
  </si>
  <si>
    <t>Betona bruģa seguma izbūve, h=6cm</t>
  </si>
  <si>
    <t xml:space="preserve">Minerālmateriālu izsiju izlīdzinošais slānis fr.(2/8), h(vid)=3cm </t>
  </si>
  <si>
    <t>Drenējošā kārta, h=30cm (≥60MPa)</t>
  </si>
  <si>
    <t>Bruģa seguma demontāža un atpakaļuzlikšana</t>
  </si>
  <si>
    <t>Betona bruģa seguma demontāža un saglabāšana atpakaļuzlikšanai un atlikušās segas konstrukcijas demontāža ar liekās grunts aizvešanu uz Būvuzņēmēja atbērtni (hvid=50cm)</t>
  </si>
  <si>
    <t>Minerālmateriālu izsiju izlīdzinošais slānis fr.(2/5), h(vid)=5cm (1. tips)</t>
  </si>
  <si>
    <t>Betona bruģa seguma atpakaļuzlikšana, h=6cm (paredzot 20% jauna materiāla)</t>
  </si>
  <si>
    <t>Cementbetona apmaļu uzstādīšana</t>
  </si>
  <si>
    <t>Cementbetona apmaļu 100x20x8 izbūve uz betona C30/37 un šķembu pamata h=15cm</t>
  </si>
  <si>
    <t>Labiekārtojums</t>
  </si>
  <si>
    <t>Zaļās zonas ierīkošana (t.sk. zālāja seguma ierīkošana ievalkai), izmantojot pievestu augu zemi (h=10cm) apsētu ar zālāja sēklām ieskaitot veltņošanu, t.sk. Darba zonas sakārtošana zem zālāja seguma</t>
  </si>
  <si>
    <t>10-1</t>
  </si>
  <si>
    <t>10-1-1</t>
  </si>
  <si>
    <t>10-1-2</t>
  </si>
  <si>
    <t>10-1-3</t>
  </si>
  <si>
    <t>10-1-4</t>
  </si>
  <si>
    <t>10-1-5</t>
  </si>
  <si>
    <t>10-1-6</t>
  </si>
  <si>
    <t>10-1-7</t>
  </si>
  <si>
    <t>10-1-8</t>
  </si>
  <si>
    <t>10-2</t>
  </si>
  <si>
    <t>10-2-9</t>
  </si>
  <si>
    <t>10-3</t>
  </si>
  <si>
    <t>10-3-10</t>
  </si>
  <si>
    <t>10-3-11</t>
  </si>
  <si>
    <t>10-3-12</t>
  </si>
  <si>
    <t>10-4</t>
  </si>
  <si>
    <t>10-4-13</t>
  </si>
  <si>
    <t>10-4-14</t>
  </si>
  <si>
    <t>10-5</t>
  </si>
  <si>
    <t>10-5-15</t>
  </si>
  <si>
    <t>10-5-16</t>
  </si>
  <si>
    <t>10-5-17</t>
  </si>
  <si>
    <t>10-5-18</t>
  </si>
  <si>
    <t>10-6</t>
  </si>
  <si>
    <t>10-6-19</t>
  </si>
  <si>
    <t>10-6-20</t>
  </si>
  <si>
    <t>10-6-21</t>
  </si>
  <si>
    <t>10-6-22</t>
  </si>
  <si>
    <t>10-6-23</t>
  </si>
  <si>
    <t>10-7</t>
  </si>
  <si>
    <t>10-7-24</t>
  </si>
  <si>
    <t>10-8</t>
  </si>
  <si>
    <t>10-8-25</t>
  </si>
  <si>
    <t>Silto grīdu caurule HERZ-LINE PE-RT 16x2mm</t>
  </si>
  <si>
    <t>Silto grīdu kolektors Smart S 7-kontūrām</t>
  </si>
  <si>
    <t>gab</t>
  </si>
  <si>
    <t>Izpildmehānisms silto grīdu kolektoram</t>
  </si>
  <si>
    <t>Vadība bloks</t>
  </si>
  <si>
    <t xml:space="preserve">Sūkņa mezgls </t>
  </si>
  <si>
    <t>Montāžas materiāli</t>
  </si>
  <si>
    <t>obj</t>
  </si>
  <si>
    <t>9-1</t>
  </si>
  <si>
    <t>9-1-1</t>
  </si>
  <si>
    <t>9-1-2</t>
  </si>
  <si>
    <t>9-1-3</t>
  </si>
  <si>
    <t>9-1-4</t>
  </si>
  <si>
    <t>9-1-5</t>
  </si>
  <si>
    <t>9-1-6</t>
  </si>
  <si>
    <t>Apaļi cinkotā skārda gaisa vadi D=250</t>
  </si>
  <si>
    <t>Apaļi cinkotā skārda gaisa vadi D=200</t>
  </si>
  <si>
    <t>Apaļi cinkotā skārda gaisa vadi D=160</t>
  </si>
  <si>
    <t>Apaļi cinkotā skārda gaisa vadi D=125</t>
  </si>
  <si>
    <t>Apaļi cinkotā skārda gaisa vadi D=100</t>
  </si>
  <si>
    <t>T gabals D250/D250</t>
  </si>
  <si>
    <t>T gabals D250/D100</t>
  </si>
  <si>
    <t>T gabals D200/D160</t>
  </si>
  <si>
    <t>T gabals D200/D100</t>
  </si>
  <si>
    <t>T gabals D160/D100</t>
  </si>
  <si>
    <t>T gabals D125/D100</t>
  </si>
  <si>
    <t>T gabals D100/D100</t>
  </si>
  <si>
    <r>
      <t>likums D250/90</t>
    </r>
    <r>
      <rPr>
        <vertAlign val="superscript"/>
        <sz val="10"/>
        <color indexed="8"/>
        <rFont val="Arial"/>
        <family val="2"/>
        <charset val="186"/>
      </rPr>
      <t>0</t>
    </r>
    <r>
      <rPr>
        <sz val="10"/>
        <rFont val="Arial"/>
        <family val="2"/>
        <charset val="186"/>
      </rPr>
      <t xml:space="preserve"> </t>
    </r>
  </si>
  <si>
    <r>
      <t>likums D160/45</t>
    </r>
    <r>
      <rPr>
        <vertAlign val="superscript"/>
        <sz val="10"/>
        <color indexed="8"/>
        <rFont val="Arial"/>
        <family val="2"/>
        <charset val="186"/>
      </rPr>
      <t>0</t>
    </r>
    <r>
      <rPr>
        <sz val="10"/>
        <rFont val="Arial"/>
        <family val="2"/>
        <charset val="186"/>
      </rPr>
      <t xml:space="preserve"> </t>
    </r>
  </si>
  <si>
    <r>
      <t>likums D125/45</t>
    </r>
    <r>
      <rPr>
        <vertAlign val="superscript"/>
        <sz val="10"/>
        <color indexed="8"/>
        <rFont val="Arial"/>
        <family val="2"/>
        <charset val="186"/>
      </rPr>
      <t>0</t>
    </r>
    <r>
      <rPr>
        <sz val="10"/>
        <rFont val="Arial"/>
        <family val="2"/>
        <charset val="186"/>
      </rPr>
      <t xml:space="preserve"> </t>
    </r>
  </si>
  <si>
    <r>
      <t>likums D100/45</t>
    </r>
    <r>
      <rPr>
        <vertAlign val="superscript"/>
        <sz val="10"/>
        <rFont val="Arial"/>
        <family val="2"/>
        <charset val="186"/>
      </rPr>
      <t>0</t>
    </r>
  </si>
  <si>
    <r>
      <t>likums D100/90</t>
    </r>
    <r>
      <rPr>
        <vertAlign val="superscript"/>
        <sz val="10"/>
        <rFont val="Arial"/>
        <family val="2"/>
        <charset val="186"/>
      </rPr>
      <t>0</t>
    </r>
  </si>
  <si>
    <t>pāreja D250/D200</t>
  </si>
  <si>
    <t>pāreja D200/D160</t>
  </si>
  <si>
    <t>pāreja D160/D125</t>
  </si>
  <si>
    <t>pāreja D160/D100</t>
  </si>
  <si>
    <t>pāreja D125/D100</t>
  </si>
  <si>
    <t>Jumta izvads D250</t>
  </si>
  <si>
    <t>Sienas reste D250</t>
  </si>
  <si>
    <t>Nosūces difuzors D160</t>
  </si>
  <si>
    <t>Nosūces difuzors D100</t>
  </si>
  <si>
    <t>Pieplūdes difuzors D160</t>
  </si>
  <si>
    <t>Pieplūdes difuzors D100</t>
  </si>
  <si>
    <t xml:space="preserve">Regulēšanas vārsts D160 </t>
  </si>
  <si>
    <t xml:space="preserve">Regulēšanas vārsts D100 </t>
  </si>
  <si>
    <t>Klusinātājs D250, L=600 mm</t>
  </si>
  <si>
    <t>Cinkotais skārda gaisvada D250 izolācija IZOTEC K-LAM 30mm</t>
  </si>
  <si>
    <t>Cinkotais skārda gaisvada D200 izolācija IZOTEC K-LAM 30mm</t>
  </si>
  <si>
    <t>Cinkotais skārda gaisvada D160 izolācija IZOTEC K-LAM 30mm</t>
  </si>
  <si>
    <t>Cinkotais skārda gaisvada D125 izolācija IZOTEC K-LAM 30mm</t>
  </si>
  <si>
    <t>Cinkotais skārda gaisvada D100 izolācija IZOTEC K-LAM 30mm</t>
  </si>
  <si>
    <t>Pieplūdes-nosūces gaisa apstrādes iekārta  VENTS VUT PW EC 1000 ar plākšņu siltummaini, gaisa vārstiem, glikola kaloriferu, filtriem, automātikas un vadības bloku</t>
  </si>
  <si>
    <t>Apkure T1, T2 ventilācijai</t>
  </si>
  <si>
    <t>Vara caurules D22x1</t>
  </si>
  <si>
    <r>
      <t>Vara caurules D22x1 līkums 90</t>
    </r>
    <r>
      <rPr>
        <vertAlign val="superscript"/>
        <sz val="10"/>
        <rFont val="Arial"/>
        <family val="2"/>
        <charset val="186"/>
      </rPr>
      <t>0</t>
    </r>
  </si>
  <si>
    <t>Lodveida krāns  Dn20</t>
  </si>
  <si>
    <t>CU Saskrūve taisna 22x3/4'' i.v.</t>
  </si>
  <si>
    <t>CU Saskrūve taisna 22x3/4'' ā.v.</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</si>
  <si>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</si>
  <si>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</si>
  <si>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</si>
  <si>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</si>
  <si>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</si>
  <si>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</si>
  <si>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</si>
  <si>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</si>
  <si>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</si>
  <si>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</si>
  <si>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</si>
  <si>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</si>
  <si>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</si>
  <si>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</si>
  <si>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</si>
  <si>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</si>
  <si>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</si>
  <si>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</si>
  <si>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</si>
  <si>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</si>
  <si>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</si>
  <si>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</si>
  <si>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</si>
  <si>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</si>
  <si>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</si>
  <si>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8-2</t>
  </si>
  <si>
    <t>8-2-41</t>
  </si>
  <si>
    <t>8-2-42</t>
  </si>
  <si>
    <t>8-2-43</t>
  </si>
  <si>
    <t>8-2-44</t>
  </si>
  <si>
    <t>8-2-45</t>
  </si>
  <si>
    <t>8-2-40</t>
  </si>
  <si>
    <t>Siltummezgls</t>
  </si>
  <si>
    <t>Ūdens gāzes caurules Dn65, ar formdaļām</t>
  </si>
  <si>
    <t>Ūdens gāzes caurules Dn40, ar formdaļām</t>
  </si>
  <si>
    <t>Ūdens gāzes caurules Dn32, ar formdaļām</t>
  </si>
  <si>
    <t>Ūdens gāzes caurules Dn20, ar formdaļām</t>
  </si>
  <si>
    <t>Ūdens gāzes caurules Dn15, ar formdaļām</t>
  </si>
  <si>
    <t>Apkures sistēmas cirkulācijas sūknis Magna1 40-80/8-4,5</t>
  </si>
  <si>
    <t>Ventilācijas sistēmas cirkulācijas sūknis Magna1 25-60/2,97-4,9</t>
  </si>
  <si>
    <t>Ventilācijas sistēmas cirkulācijas sūknis Magna1 25-40/12-2,8</t>
  </si>
  <si>
    <t>Siltumskaitītājs Dn50, 10,0 m³/h</t>
  </si>
  <si>
    <t>Apkures sistēmas regulēšanas vārsts VRG2-25 Kvs-10, DN40</t>
  </si>
  <si>
    <t>Ventilācijas sistēmas regulēšanas vārsts VRG2-20 Kvs-6,3, DN32</t>
  </si>
  <si>
    <t>AMV435 elektropiedziņas vārsts</t>
  </si>
  <si>
    <t>Apkures sistēmas vadības procesors ECL 210 (A260)</t>
  </si>
  <si>
    <t xml:space="preserve">Apkures sistēmas temperatūras sensors  ESM 11 </t>
  </si>
  <si>
    <t>Ārgaisa temperatūras sensors ESMT</t>
  </si>
  <si>
    <t xml:space="preserve">Temperatūras sensora ESMU </t>
  </si>
  <si>
    <t>Karstā ūdens skaitītājs Dn20, Q=2.5³ m /h</t>
  </si>
  <si>
    <t>Lodveida ventīlis Dn65</t>
  </si>
  <si>
    <t>Lodveida ventīlis Dn40</t>
  </si>
  <si>
    <t>Lodveida ventīlis Dn32</t>
  </si>
  <si>
    <t>Lodveida ventīlis Dn20</t>
  </si>
  <si>
    <t>Lodveida ventīlis Dn15</t>
  </si>
  <si>
    <t>Tukšošanas lodveida ventīlis Dn15</t>
  </si>
  <si>
    <t>Mehāniskā gružu filtrs Dn65</t>
  </si>
  <si>
    <t>Mehāniskā gružu filtrs Dn40</t>
  </si>
  <si>
    <t>Mehāniskā gružu filtrs Dn32</t>
  </si>
  <si>
    <t>Mehāniskā gružu filtrs Dn20</t>
  </si>
  <si>
    <t>Pretvārsts Dn40</t>
  </si>
  <si>
    <t>Pretvārsts Dn32</t>
  </si>
  <si>
    <t>Pretvārsts Dn20</t>
  </si>
  <si>
    <t>Drošības vārstas Dn20, ar vītni, 4 bar</t>
  </si>
  <si>
    <t>Spiediena regulātors 2,5 bar</t>
  </si>
  <si>
    <t>Izplešanās trauks, V=100 l, vertikālais</t>
  </si>
  <si>
    <t>Manometrs 0-16 bar, ar nopūtējkrānu</t>
  </si>
  <si>
    <t>Manometrs 0-6 bar, ar nopūtējkrānu</t>
  </si>
  <si>
    <r>
      <t>Spirta termometrs 0-120 C</t>
    </r>
    <r>
      <rPr>
        <vertAlign val="superscript"/>
        <sz val="10"/>
        <rFont val="Arial"/>
        <family val="2"/>
        <charset val="186"/>
      </rPr>
      <t>0</t>
    </r>
  </si>
  <si>
    <r>
      <t>Bimetāla termometrs 0-120 C</t>
    </r>
    <r>
      <rPr>
        <vertAlign val="superscript"/>
        <sz val="10"/>
        <rFont val="Arial"/>
        <family val="2"/>
        <charset val="186"/>
      </rPr>
      <t>0</t>
    </r>
  </si>
  <si>
    <t xml:space="preserve">Automātiskā atgaisotājs Dn15 </t>
  </si>
  <si>
    <t xml:space="preserve">Stikla vates cauruļu izolācija D76x30, ar Al folliju </t>
  </si>
  <si>
    <t xml:space="preserve">Stikla vates cauruļu izolācija D48x30, ar Al folliju </t>
  </si>
  <si>
    <t xml:space="preserve">Stikla vates cauruļu izolācija D42x30, ar Al folliju </t>
  </si>
  <si>
    <t xml:space="preserve">Stikla vates cauruļu izolācija D28x30, ar Al folliju </t>
  </si>
  <si>
    <t xml:space="preserve">Stikla vates cauruļu izolācija D22x30, ar Al folliju </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</si>
  <si>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</si>
  <si>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</si>
  <si>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</si>
  <si>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</si>
  <si>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</si>
  <si>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</si>
  <si>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</si>
  <si>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</si>
  <si>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</si>
  <si>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</si>
  <si>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</si>
  <si>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</si>
  <si>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</si>
  <si>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</si>
  <si>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</si>
  <si>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</si>
  <si>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</si>
  <si>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</si>
  <si>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</si>
  <si>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</si>
  <si>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</si>
  <si>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</si>
  <si>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</si>
  <si>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</si>
  <si>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</si>
  <si>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</si>
  <si>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</si>
  <si>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</si>
  <si>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</si>
  <si>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</si>
  <si>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</si>
  <si>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</si>
  <si>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</si>
  <si>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</si>
  <si>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</si>
  <si>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</si>
  <si>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</si>
  <si>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</si>
  <si>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7-1-44</t>
  </si>
  <si>
    <t>7-1-45</t>
  </si>
  <si>
    <t>7-1-46</t>
  </si>
  <si>
    <t>Apkures sistēmas siltummainis, Q=90 kW</t>
  </si>
  <si>
    <t>Cirkulācijas sūknis ALPHA1L 15-40, Q=1.5 m³/h, H=2.3 m, Nel=4-25 W</t>
  </si>
  <si>
    <t>Ugunsdrošības vārsti D100 (kūstošie)</t>
  </si>
  <si>
    <t>5-1</t>
  </si>
  <si>
    <t>5-1-1</t>
  </si>
  <si>
    <t>5-1-2</t>
  </si>
  <si>
    <t>5-1-3</t>
  </si>
  <si>
    <t>5-1-4</t>
  </si>
  <si>
    <t>5-1-5</t>
  </si>
  <si>
    <t>5-1-6</t>
  </si>
  <si>
    <t>5-1-7</t>
  </si>
  <si>
    <t>5-1-8</t>
  </si>
  <si>
    <t>5-1-9</t>
  </si>
  <si>
    <t>5-1-10</t>
  </si>
  <si>
    <t>5-1-11</t>
  </si>
  <si>
    <t>5-1-12</t>
  </si>
  <si>
    <t>5-1-13</t>
  </si>
  <si>
    <t>5-1-14</t>
  </si>
  <si>
    <t>5-1-15</t>
  </si>
  <si>
    <t>5-1-16</t>
  </si>
  <si>
    <t>5-1-17</t>
  </si>
  <si>
    <t>5-1-18</t>
  </si>
  <si>
    <t>5-1-19</t>
  </si>
  <si>
    <t>5-1-20</t>
  </si>
  <si>
    <t>5-1-21</t>
  </si>
  <si>
    <t>5-2</t>
  </si>
  <si>
    <t>5-2-22</t>
  </si>
  <si>
    <t>5-2-23</t>
  </si>
  <si>
    <t>5-2-24</t>
  </si>
  <si>
    <t>5-2-25</t>
  </si>
  <si>
    <t>5-2-26</t>
  </si>
  <si>
    <t>5-2-27</t>
  </si>
  <si>
    <t>5-2-28</t>
  </si>
  <si>
    <t>5-2-29</t>
  </si>
  <si>
    <t>5-2-30</t>
  </si>
  <si>
    <t>5-2-31</t>
  </si>
  <si>
    <t>5-2-32</t>
  </si>
  <si>
    <t>5-2-33</t>
  </si>
  <si>
    <t>5-2-34</t>
  </si>
  <si>
    <t>5-2-35</t>
  </si>
  <si>
    <t>5-3</t>
  </si>
  <si>
    <t>5-3-36</t>
  </si>
  <si>
    <t>5-3-37</t>
  </si>
  <si>
    <t>5-3-38</t>
  </si>
  <si>
    <t>5-3-39</t>
  </si>
  <si>
    <t>5-3-40</t>
  </si>
  <si>
    <t>5-3-41</t>
  </si>
  <si>
    <t>5-3-42</t>
  </si>
  <si>
    <t>5-3-43</t>
  </si>
  <si>
    <t>5-3-44</t>
  </si>
  <si>
    <t>5-3-45</t>
  </si>
  <si>
    <t>5-3-46</t>
  </si>
  <si>
    <t>5-4</t>
  </si>
  <si>
    <t>5-4-48</t>
  </si>
  <si>
    <t>5-4-49</t>
  </si>
  <si>
    <t>5-4-50</t>
  </si>
  <si>
    <t>5-4-51</t>
  </si>
  <si>
    <t>5-4-52</t>
  </si>
  <si>
    <t>5-4-53</t>
  </si>
  <si>
    <t xml:space="preserve">Ārējie kanalizācijas tīkli, aprīkojums </t>
  </si>
  <si>
    <t>Sagatavošanas un demontāžas darbi</t>
  </si>
  <si>
    <t>Trases uzmērīšana un nospraušana dabā</t>
  </si>
  <si>
    <t>Esošās kanalizācijas dzelzsbetona akas un platmasas caurules demontāža un nodošana atkritumu apsaimniekotājam</t>
  </si>
  <si>
    <t>Augu zemes noņemšana, Hvid=10cm. Noņemtās augu zemes uzglabāšana un atpakaļ uzlikšana</t>
  </si>
  <si>
    <t>Tranšeju un  būvbedru rakšana izmantojot aizsardzības mehānismus pret tranšejas sagrūšanu un malu nostiprināšana, ietverot grunts pagaidu uzglabāšanu</t>
  </si>
  <si>
    <t>Mehanizēta tranšeju h= līdz 1,5m  rakšana  1,2m platumā</t>
  </si>
  <si>
    <t>Tranšejas aizbēršana, ieskaitot grunts noblīvēšanu pa slāņiem un ar to saistītie darbi</t>
  </si>
  <si>
    <t>Grunts atpakaļ aizbēršana blietējot, noblīvējot līdz 90% no max iespējāmā, tajā skaitā izmantojot atvesto grunti no atbērtnes, ja nepieciešams</t>
  </si>
  <si>
    <t>Liekās izraktās grunts transportēšana uz atbērtni līdz 2km</t>
  </si>
  <si>
    <t>Kanalizācijas pašteces tīklu būvniecība</t>
  </si>
  <si>
    <t>Kanalizācijas cauruļu izbūve</t>
  </si>
  <si>
    <t>Tranšejas pamatnes (h=15cm smilts max. frakc. 15mm) sagatavošana blietējot</t>
  </si>
  <si>
    <t>Cauruļvadu PP De160 montāža un guldīšana uz sagatavotas tranšejas pamatnes tranšejā</t>
  </si>
  <si>
    <t>Cauruļu apbēršana ar smilti max. frakc. 15mm, blietējot, slāņa biezums (caurules ārējais diam+0,15m)</t>
  </si>
  <si>
    <t xml:space="preserve">Signāllentas uzstādīšana </t>
  </si>
  <si>
    <t>100m</t>
  </si>
  <si>
    <t>Skataku un gūliju izbūve</t>
  </si>
  <si>
    <t>Individuāla pasūtījuma plastmasas kanalizācijas skataka DN400 h=1,0-1,5m komplektā ar pievienojumiem De160, teleskopisko augstuma regulēšanas cauruli  De315 un ķeta vāku ar nestspēju 40t iebūvei zālājā</t>
  </si>
  <si>
    <t>kompl.</t>
  </si>
  <si>
    <t>Cauruļvadu pārbaudes un izpilddokumentācijas sagatavošana</t>
  </si>
  <si>
    <t>CCTV inspekcija un infiltrācijas pārbaude</t>
  </si>
  <si>
    <t>Pašteces kanalizācijas izpildmērījumi un dokumentācijas sagatavošana</t>
  </si>
  <si>
    <t xml:space="preserve">Iekšējie kanalizācijas tīkli, aprīkojums </t>
  </si>
  <si>
    <t xml:space="preserve">Tanšejas rakšana, h līdz 1,5m. Cauruļvadu pamatnes sagatavošana ar smilts slāni h=15cm, un to apbēršana ar smilts slāni h=15cm pēc konkrētā caurules ražotāja noteikumiem.Tranšejas platums 1,2m. Plastmasas kanalizācijas cauruļu PPHT De50-160, ieskaitot veidgabalus,  uzstādīšana zem grīdas konstrukcijas gruntī. </t>
  </si>
  <si>
    <t>Plastmasas kanalizācijas cauruļu PPHT De32, ieskaitot veidgabalus,  uzstādīšana sienās slēpti, ieskaitot stiprinājumus</t>
  </si>
  <si>
    <t>Plastmasas kanalizācijas cauruļu PPHT D50, ieskaitot veidgabalus,  uzstādīšana sienās slēpti, ieskaitot stiprinājumus</t>
  </si>
  <si>
    <t>Plastmasas kanalizācijas cauruļu PPHT D110, ieskaitot veidgabalus,  uzstādīšana sienās slēpti, ieskaitot stiprinājumus</t>
  </si>
  <si>
    <t>Veļas mazgāšanas mašīnas un veļas žāvētāja pievienojuma vietas izbūve</t>
  </si>
  <si>
    <t>vieta</t>
  </si>
  <si>
    <t>Pamatu šķērsošanaar aizsargčaulu De160 caurulei</t>
  </si>
  <si>
    <t>Pamatu/grīdu šķērsošana ar aizsargčaulu De110 caurulei</t>
  </si>
  <si>
    <t>Pamatu/grīdu šķērsošana ar aizsargčaulu De50 caurulei</t>
  </si>
  <si>
    <t>Pamatu/grīdu šķērsošana ar aizsargčaulu De32 caurulei</t>
  </si>
  <si>
    <t>Esošās keramikas kanalizācijas caurules d150 pārslēgšana pie jaunizbūvējhamās PP kanalizācijas caurules</t>
  </si>
  <si>
    <t>Plastmasas tīrīšanas lūkas Dn110 arnerūsējošā tērauda paceļamu vāku 150mmx150mm, smakas drošas uzstādīšana, ieskaitot visus nepieciešamos veidgabalus</t>
  </si>
  <si>
    <t>Keramikas izlietne ar jaucējkrānu, ieskaitot sifonu, uzstādīšana un pievienošana pie ūdensvadiem un pie kanalizācijas tīkliem</t>
  </si>
  <si>
    <t>Klozetpodu ar skalošanas tvertni uzstādīšana un pievienošana pie ūdensvadiem un pie kanalizācijas tīkliem</t>
  </si>
  <si>
    <t>Nerūsējošā tērauda tehniskās izlietnes ar jaucējkrānu, ieskaitot silfonu,  uzstādīšana un pievienošana pie ūdensvadiem un pie kanalizācijas tīkliem</t>
  </si>
  <si>
    <t>Aukstais ūdensvads</t>
  </si>
  <si>
    <t>Betona nesošo sienu šķērsošana caurulēm ar Ø≤20mm ieskaitot aizsargčaulu</t>
  </si>
  <si>
    <t>Caurules  Pex/Al/Pex 16x2.0 ieskaitot fasondaļas (presējamie veidgabali) un stiprinājumus uzstādīšana grīdas konstrukcijā ar pretkondensāta izolāciju čaulā 9mm</t>
  </si>
  <si>
    <t>Caurules  Pex/Al/Pex 20x2.25 ieskaitot fasondaļas (presējamie veidgabali) un stiprinājumus uzstādīšana grīdas konstrukcijā/  pie sienas  ar pretkondensāta izolāciju čaulā 9mm</t>
  </si>
  <si>
    <t>Kanālu izkalšana keramzīta bloku sienās daudzslāņu caurules Pex/Al/Pex 16x2,0 pretkondensātizolācijas čaulā uzstādīšanai  un pēc cauruļu izbūves aizmūrēšana</t>
  </si>
  <si>
    <t>Pieslēguma pie esošā ūdensvada d25 pagrabtelpā izbūve, demontējot esošo lokano cauruli, tās vietā izbūvējot Pex-Al-Pex cauruli ar fasondaļām</t>
  </si>
  <si>
    <t>Ūdens ņemšanas krāna DN 15 uzstādīšana, ieskaitot veidgabalus</t>
  </si>
  <si>
    <t>Lodveida ventīļa Dn20 uzstādīšana</t>
  </si>
  <si>
    <t>Roku mazgātņu pieslēguma aukstajam ūdenim izbūve, ieskaitot stūra ventiļu izlietnēm DN15 uzstādīšanu</t>
  </si>
  <si>
    <t>Veļas mašīnas pieslēguma izveide aukstajm ūdenim, ieskaitot leņķa ventiļa uzstādīšanu</t>
  </si>
  <si>
    <t xml:space="preserve">Ugunsdrošības aploces uzstādīšana caurulei De20 </t>
  </si>
  <si>
    <t>Ūdensvada hidrauliskā pārbaude un hlorēšana</t>
  </si>
  <si>
    <t>Karstais ūdensvads</t>
  </si>
  <si>
    <t>Betona nesošo sienu šķērsošana caurulēm ar Ø≤16mm ieskaitot aizsargčaulu</t>
  </si>
  <si>
    <t>Caurules  Pex/Al/Pex 16x2.0 ieskaitot fasondaļas (presējamie veidgabali) un stiprinājumus uzstādīšana grīdas konstrukcijā ar pretkondensāta izolāciju čaulā 20mm</t>
  </si>
  <si>
    <t>Kanālu izkalšana keramzīta bloku sienās daudzslāņu caurules Pex/Al/Pex 16x2,0 siltumizolācijas čaulā uzstādīšanai  un pēc cauruļu izbūves aizmūrēšana</t>
  </si>
  <si>
    <t>Lodveida ventīļa Dn15 uzstādīšana</t>
  </si>
  <si>
    <t>Roku mazgātņu pieslēguma karstajam ūdenim izbūve, ieskaitot stūra ventiļu izlietnēm DN15 uzstādīšanu</t>
  </si>
  <si>
    <t xml:space="preserve">Ugunsdrošības aploces uzstādīšana caurulei De16 </t>
  </si>
  <si>
    <t>6-1</t>
  </si>
  <si>
    <t>6-1-1</t>
  </si>
  <si>
    <t>6-1-2</t>
  </si>
  <si>
    <t>6-2</t>
  </si>
  <si>
    <t>6-2-3</t>
  </si>
  <si>
    <t>6-3</t>
  </si>
  <si>
    <t>6-3-4</t>
  </si>
  <si>
    <t>6-4</t>
  </si>
  <si>
    <t>6-4-5</t>
  </si>
  <si>
    <t>6-4-6</t>
  </si>
  <si>
    <t>6-5</t>
  </si>
  <si>
    <t>6-5-7</t>
  </si>
  <si>
    <t>6-5-8</t>
  </si>
  <si>
    <t>6-5-9</t>
  </si>
  <si>
    <t>6-5-10</t>
  </si>
  <si>
    <t>6-5-11</t>
  </si>
  <si>
    <t>6-6</t>
  </si>
  <si>
    <t>6-6-12</t>
  </si>
  <si>
    <t>6-6-13</t>
  </si>
  <si>
    <t>6-6-14</t>
  </si>
  <si>
    <t>6-6-15</t>
  </si>
  <si>
    <t>6-7</t>
  </si>
  <si>
    <t>6-7-16</t>
  </si>
  <si>
    <t>6-8</t>
  </si>
  <si>
    <t>6-8-17</t>
  </si>
  <si>
    <t>6-8-18</t>
  </si>
  <si>
    <t xml:space="preserve">Ārējie lietus kanalizācijas tīkli, aprīkojums </t>
  </si>
  <si>
    <t>Mehanizēta tranšeju h= līdz 1,5m  rakšana  1,5m platumā</t>
  </si>
  <si>
    <t>Cauruļvadu PVC De110 montāža un guldīšana uz sagatavotas tranšejas pamatnes tranšejā</t>
  </si>
  <si>
    <t>Gūlijas-lietus savācēja DN100 iebūve un pievienošana, ieskaitot visus nepieciešamos veidgabalus</t>
  </si>
  <si>
    <t>Individuāla pasūtījuma plastmasas skatakas ar pamatni pievienojumiem De110, Dn400/315, teleskopisko cauruli Ø315 un 12,5t čuguna rāmi iebūvei zaļajā zonā un vāku h=līdz 1,5m iebūve tranšejā un pievienošana</t>
  </si>
  <si>
    <t xml:space="preserve">Individuāla pasūtījuma plastmasas gūlijas ar pamatni  pievienojumiem De110, Dn400/315, teleskopisko cauruli Ø315 un 12,5t čuguna vāku iebūvei zaļajā zonā un nosēddaļu 70l, h=līdz 1,5m iebūve tranšejā un pievienošana </t>
  </si>
  <si>
    <t>Individuāla pasūtījuma plastmasas gūlija ar pamatni pievienojumiem De110,  Dn400/315, teleskopisko cauruli Ø315 un 12,5t čuguna vāku iebūvei grants segumā un nosēddaļu 70l, h=līdz 1,5m iebūve tranšejā un pievienošana</t>
  </si>
  <si>
    <t>Infiltrācijas kasešu izbūve</t>
  </si>
  <si>
    <t>Infiltrācijas kasešu  (1200X600X300mm) bloka (12gb.) izbūve ievērojot visus to ražotāja noteikumus, tai skaitā tranšeju raksana, aizbēršana, pamatnes sagatavošana, kasešu kopuma apklāšana no visām pusēm ar ģeotekstilu, ventilācijas izbūve</t>
  </si>
  <si>
    <t>4-1</t>
  </si>
  <si>
    <t>4-1-1</t>
  </si>
  <si>
    <t>4-1-2</t>
  </si>
  <si>
    <t>4-1-3</t>
  </si>
  <si>
    <t>4-1-4</t>
  </si>
  <si>
    <t>4-1-5</t>
  </si>
  <si>
    <t>4-1-6</t>
  </si>
  <si>
    <t>4-1-7</t>
  </si>
  <si>
    <t>4-1-8</t>
  </si>
  <si>
    <t>4-1-9</t>
  </si>
  <si>
    <t>4-1-10</t>
  </si>
  <si>
    <t>4-1-11</t>
  </si>
  <si>
    <t>UATS TĪKLI</t>
  </si>
  <si>
    <t>gab.</t>
  </si>
  <si>
    <t>Kombinētā detektora montāža pie griestiem, t.sk. stiprinājuma elementi</t>
  </si>
  <si>
    <t>Rokas trauksmes pogasmontāža pie sienas, t.sk. stiprinājuma elementi</t>
  </si>
  <si>
    <t>Skaņas-gaismas signālu (iekšējais) montāža pie sienas vai griestiem, t.sk. stiprinājuma elementi</t>
  </si>
  <si>
    <t>Kabeļu kanāla 8x10 montāža pa sienu, t.sk. stiprinājuma elementi</t>
  </si>
  <si>
    <t>m.</t>
  </si>
  <si>
    <t>Zonas noslēdzošā elementa montāža</t>
  </si>
  <si>
    <t>Iznesamā gaismas diodes montāža pie piekargriestiem, t.sk. stiprinājuma elementi</t>
  </si>
  <si>
    <t>Ugunsdrošo nozarkārbu montāža</t>
  </si>
  <si>
    <t>PVH caurules d=16 montāža sienās, aiz piekargriestiem, t.sk. stiprinājuma elementi</t>
  </si>
  <si>
    <t>Ventilācijas iekārtas vadības releja montāža</t>
  </si>
  <si>
    <t>2-1</t>
  </si>
  <si>
    <t>Iekšējie elektrotehniskie darbi</t>
  </si>
  <si>
    <t>2-1-1</t>
  </si>
  <si>
    <t>2-1-2</t>
  </si>
  <si>
    <t>12 moduļu sadalnes ar N un PE klemmi, IP44 virs apmetuma uzstādīšana, montāža</t>
  </si>
  <si>
    <t>2-1-3</t>
  </si>
  <si>
    <t>Ievada slēdža 3/80A montāža sadalnē</t>
  </si>
  <si>
    <t>2-1-4</t>
  </si>
  <si>
    <t>Ievada slēdža 3/32A montāža sadalnē</t>
  </si>
  <si>
    <t>2-1-5</t>
  </si>
  <si>
    <t>2-1-6</t>
  </si>
  <si>
    <t>Grupu automāta 1C16 montāža sadalnē</t>
  </si>
  <si>
    <t>2-1-7</t>
  </si>
  <si>
    <t>Grupu automāta 1C6 montāža sadalnē</t>
  </si>
  <si>
    <t>2-1-8</t>
  </si>
  <si>
    <t>Grupu automāta 1B6 montāža sadalnē</t>
  </si>
  <si>
    <t>2-1-9</t>
  </si>
  <si>
    <t>Grupu automāta 1C4 montāža sadalnē</t>
  </si>
  <si>
    <t>2-1-10</t>
  </si>
  <si>
    <t>Grupu automāta 1B1 montāža sadalnē</t>
  </si>
  <si>
    <t>2-1-11</t>
  </si>
  <si>
    <t>Automātu savienojošās kopnes 12 mod. 400V uzstādīšana sadalnē</t>
  </si>
  <si>
    <t>2-1-12</t>
  </si>
  <si>
    <t>Diferenciālās strāvas aizsardzības aparāta 1N/16/0,03 uzstādīšana sadalnē</t>
  </si>
  <si>
    <t>2-1-13</t>
  </si>
  <si>
    <t>Diferenciālās strāvas aizsardzības aparāta 1N/6/0,03 uzstādīšana sadalnē</t>
  </si>
  <si>
    <t>2-1-14</t>
  </si>
  <si>
    <t>Kabeļ dzīslu savienotāju TORIX T6 montāža</t>
  </si>
  <si>
    <t>2-1-15</t>
  </si>
  <si>
    <t>Nozarkārbu OBO80 IP54 montāža</t>
  </si>
  <si>
    <t>2-1-16</t>
  </si>
  <si>
    <t>El. divvietīgās rozetes 230V z/a IP20 montāža, t.sk. rozetes mehānismi, montāžas kārbas, rāmīši, stiprinājuma elementi</t>
  </si>
  <si>
    <t>2-1-17</t>
  </si>
  <si>
    <t>El. divvietīgās rozetes 400V z/a IP44 montāža, t.sk. rozetes mehānismi, montāžas kārbas, rāmīši, stiprinājuma elementi</t>
  </si>
  <si>
    <t>2-1-18</t>
  </si>
  <si>
    <t>2-1-19</t>
  </si>
  <si>
    <t>El. divvietīgā slēdža z/a IP20 montāža, t.sk. montāžas kārbas, rāmīši, stiprinājuma elementi</t>
  </si>
  <si>
    <t>2-1-20</t>
  </si>
  <si>
    <t>El. vienvietīgā slēdža z/a IP20 montāža, t.sk. montāžas kārbas, rāmīši, stiprinājuma elementi</t>
  </si>
  <si>
    <t>2-1-21</t>
  </si>
  <si>
    <t>El. vienvietīgā slēdža z/a IP44 montāža, t.sk. montāžas kārbas, rāmīši, stiprinājuma elementi</t>
  </si>
  <si>
    <t>2-1-22</t>
  </si>
  <si>
    <t>Kontaktora ventilācijas atslēgšanai CT1n 10A uzstādīšana sadalnē</t>
  </si>
  <si>
    <t>2-1-23</t>
  </si>
  <si>
    <t>Klātbūtnes sensora 2000W 20x3m, 230V, IP20 pie griestiem uzstādīšana, t. sk. stiprinājuma elementi</t>
  </si>
  <si>
    <t>2-1-24</t>
  </si>
  <si>
    <t>2-1-25</t>
  </si>
  <si>
    <t>2-1-26</t>
  </si>
  <si>
    <t>2-1-27</t>
  </si>
  <si>
    <t>2-1-28</t>
  </si>
  <si>
    <t>2-1-29</t>
  </si>
  <si>
    <t>2-1-30</t>
  </si>
  <si>
    <t>2-1-31</t>
  </si>
  <si>
    <t>LED evakuācijas gaismekļu 8W montāža pie griestiem vai sienas, t.sk. stiprinājuma un montāžas elementi</t>
  </si>
  <si>
    <t>2-1-32</t>
  </si>
  <si>
    <t>LED fasādes gaismekļu montāža pie ārsienas, t.sk. stiprinājuma un montāžas elementi</t>
  </si>
  <si>
    <t>2-1-33</t>
  </si>
  <si>
    <t>Kabeļa ar vara dzīslām 5x25mm2 montāža</t>
  </si>
  <si>
    <t>2-1-34</t>
  </si>
  <si>
    <t>Kabeļa ar vara dzīslām 5x2,5mm2 montāža</t>
  </si>
  <si>
    <t>2-1-35</t>
  </si>
  <si>
    <t>Kabeļa ar vara dzīslām 3x2,5mm2 montāža</t>
  </si>
  <si>
    <t>2-1-36</t>
  </si>
  <si>
    <t>Kabeļa ar vara dzīslām 3x1,5mm2 montāža</t>
  </si>
  <si>
    <t>2-1-37</t>
  </si>
  <si>
    <t>Ugunsdrošā kabeļa 3x1,5mm2 montāža</t>
  </si>
  <si>
    <t>2-1-38</t>
  </si>
  <si>
    <t>Siltummezgla iekšējā elektroinstalācijas shēmošana ar divdzīslu kabeļiem 2x0,4mm2</t>
  </si>
  <si>
    <t>2-1-39</t>
  </si>
  <si>
    <t>Kabeļa aizsargcaurules EVOEL FM DN63 ar stiprinājuma elementiem montāža</t>
  </si>
  <si>
    <t>2-1-40</t>
  </si>
  <si>
    <t>Kabeļa aizsargcaurules EVOEL FM DN32 ar stiprinājuma elementiem montāža</t>
  </si>
  <si>
    <t>2-1-41</t>
  </si>
  <si>
    <t>Kabeļa aizsargcaurules EVOEL FM DN20 ar stiprinājuma elementiem montāža</t>
  </si>
  <si>
    <t>2-1-42</t>
  </si>
  <si>
    <t>Ugunsdrošais blīvējums</t>
  </si>
  <si>
    <t>2-2</t>
  </si>
  <si>
    <t>Zibenasaizsardzības sistēma, sazemējums</t>
  </si>
  <si>
    <t>Vertikālā zemētāja 219/20 OMEX 20x1500mm dziļumā līdz 5m montāža, komplektā ar uzgali elektroda iedzīšanai</t>
  </si>
  <si>
    <t>Pretkorozijas lenta</t>
  </si>
  <si>
    <t>2-2-46</t>
  </si>
  <si>
    <t>2-2-47</t>
  </si>
  <si>
    <t>Pretestības mērījumi</t>
  </si>
  <si>
    <t>2-2-48</t>
  </si>
  <si>
    <t xml:space="preserve">Esošā zibensaizsardzības apaļvada demontāža no pārbūvējamās ēkas fasādes </t>
  </si>
  <si>
    <t>0.4kV KL izbūve</t>
  </si>
  <si>
    <t>EPL trases nospraušana</t>
  </si>
  <si>
    <t>Esošo komunikāciju (roku darbs) atšurfēšana un nepieciešamības gadījumā aizsardzības nodrošināšana, h līdz 1,5m</t>
  </si>
  <si>
    <t>Kabeļu aizsargcaurules Ø63 mm ieguldīšana gatavā tranšejā (t.sk. aizsargcaurule Ø63, gofrētā, PE, 450N)</t>
  </si>
  <si>
    <t>Kabeļu aizsargcaurules Ø63 mm ievilkšana pa fasādi un bēniņiem līdz galvenajai ēkas sadalnei (t.sk. aizsargcaurule Ø63, gofrētā, PE, 450N)</t>
  </si>
  <si>
    <t>ZS 5 dzīslu kabeļa līdz 35 mm2 ievēršana aizsargcaurulē</t>
  </si>
  <si>
    <t>ZS 5 dzīslu kabeļa līdz 35 mm2 ievēršana sadalnē</t>
  </si>
  <si>
    <t>ZS 5 dzīslu kabeļa līdz 35 mm2 gala apdare (gala apdare EPKT)</t>
  </si>
  <si>
    <t>Signāllentas ieklāšana</t>
  </si>
  <si>
    <t>Caurules montāža ēkas sienā</t>
  </si>
  <si>
    <t>Sadalnes KKM2 ar N un PE klemmi uzstādīšana</t>
  </si>
  <si>
    <t>Drošinātāju montāža sadalnē</t>
  </si>
  <si>
    <t>Pārsprieguma aizsardzības montāža sadalnē</t>
  </si>
  <si>
    <t>Esoša ZS 4 dzīslu kabeļa 50mm2 pievienošana galvenajā sadalnē</t>
  </si>
  <si>
    <t>ZS 4 dzīslu kabeļa 50mm2 gala apdare (gala apdare EPKT)</t>
  </si>
  <si>
    <t>Kabeļu ieeju noblīvēšana</t>
  </si>
  <si>
    <t>3-1</t>
  </si>
  <si>
    <t>3-1-1</t>
  </si>
  <si>
    <t>3-1-2</t>
  </si>
  <si>
    <t>3-1-3</t>
  </si>
  <si>
    <t>3-1-4</t>
  </si>
  <si>
    <t>3-1-5</t>
  </si>
  <si>
    <t>3-1-6</t>
  </si>
  <si>
    <t>3-1-7</t>
  </si>
  <si>
    <t>3-1-8</t>
  </si>
  <si>
    <t>3-1-9</t>
  </si>
  <si>
    <t>3-1-10</t>
  </si>
  <si>
    <t>3-1-11</t>
  </si>
  <si>
    <t>3-1-12</t>
  </si>
  <si>
    <t>3-1-13</t>
  </si>
  <si>
    <t>3-1-14</t>
  </si>
  <si>
    <t>3-1-15</t>
  </si>
  <si>
    <t>3-1-16</t>
  </si>
  <si>
    <t>3-1-17</t>
  </si>
  <si>
    <t>3-1-18</t>
  </si>
  <si>
    <t>Tranšejas rakšana un aizbēršana viena kabeļu (caurules) guldīšanai līdz 1,5m dziļumam (ieskaitot celtniecības smilts izdevumus kabeļa spilvena izveidošanai)</t>
  </si>
  <si>
    <t>Sienu mūrēšana ar keramzītbetona blokiem 200mm  (keramzitbetona bloki  200mm 3MPa; BI armatūra; mūrjava; palīgmateriāli)</t>
  </si>
  <si>
    <t>Sienu mūrēšana ar keramzītbetona blokiem 250mm  (keramzitbetona bloki  250mm 3MPa; BI armatūra; mūrjava; palīgmateriāli)</t>
  </si>
  <si>
    <t>7-1-47</t>
  </si>
  <si>
    <t>7-1-48</t>
  </si>
  <si>
    <t>7-1-49</t>
  </si>
  <si>
    <t>7-1-50</t>
  </si>
  <si>
    <t>7-1-51</t>
  </si>
  <si>
    <t>7-1-52</t>
  </si>
  <si>
    <t>7-1-53</t>
  </si>
  <si>
    <t>7-1-54</t>
  </si>
  <si>
    <t>Kombinētais ūdens sildītājs V=100l, Nel=1,5kW</t>
  </si>
  <si>
    <t>Izplešanās trauks, V=12 l, vertikālais</t>
  </si>
  <si>
    <t>Esošā siltummezgla apsaistes demontāža</t>
  </si>
  <si>
    <t>k-ts</t>
  </si>
  <si>
    <t>Siltummezgla cauruļvadu hidrauliskā pārbaude</t>
  </si>
  <si>
    <t>Elektroiekārtu montāžas komplekts</t>
  </si>
  <si>
    <t xml:space="preserve">Iekārtu iedarbināšana un ieregulēšana </t>
  </si>
  <si>
    <t>Siltuma apgādes sistēmas regulēšana</t>
  </si>
  <si>
    <t>Sistēmas nodošana ekspuatācijā</t>
  </si>
  <si>
    <t>1-2-25</t>
  </si>
  <si>
    <t>1-2-26</t>
  </si>
  <si>
    <t>1-3-32</t>
  </si>
  <si>
    <t>1-3-33</t>
  </si>
  <si>
    <t>Instrumentu noliktavas moduļa noma 1gb.</t>
  </si>
  <si>
    <t>t.m.</t>
  </si>
  <si>
    <t xml:space="preserve">AP-1 Keramzītbetona pārsedzes montāža (keramzītbetona pārsedze 2090x250x185mm, cementa java M100, palīgmateriāli) </t>
  </si>
  <si>
    <t xml:space="preserve">AP-2 Keramzītbetona pārsedzes montāža (keramzītbetona pārsedze 1790x250x185mm, cementa java M100, palīgmateriāli) </t>
  </si>
  <si>
    <t xml:space="preserve">AP-3 Keramzītbetona pārsedzes montāža (keramzītbetona pārsedze 1490x250x185mm, cementa java M100, palīgmateriāli) </t>
  </si>
  <si>
    <t xml:space="preserve">AP-5 Keramzītbetona pārsedzes montāža (keramzītbetona pārsedze 1190x200x185mm, cementa java M100, palīgmateriāli) </t>
  </si>
  <si>
    <t xml:space="preserve">AP-4 Keramzītbetona pārsedzes montāža (keramzītbetona pārsedze 1490x200x185mm, cementa java M100, palīgmateriāli) </t>
  </si>
  <si>
    <t xml:space="preserve">AP-6 Koka pārsedzes un balsta statņu montāža (ar antiseptiķi un antipirēnu apstrādāta koka pārsedze 1700x250x180mm 1gb., koka statņi 75x150x2200mm 2gb,  būvkalumi, stiprinājumi, palīgmateriāli) </t>
  </si>
  <si>
    <t>Šuvju blīvējošās līstes iestrāde pamatu pēdā (šuvju blīvējošā līste metāla VB vai ekvivalents, stiprinājumi)</t>
  </si>
  <si>
    <t>Līmētu un lakotu koka siju montāža (līmētas un lakotas koka sijas GL32c ar mitruma saturu &lt;20 %; slēptie alumīnija savienojumi (skat BK daļu), kokskrūves, stiprinājumi, palīgmateriāli)</t>
  </si>
  <si>
    <t>Mobīlā žoga h=1,8m noma 110m</t>
  </si>
  <si>
    <t>Ārdurvju AD-1 (1 gab.) (1100x2100mm) montāža (krāsotas, siltinātas ārējās metāla durvis ar zemo slieksni; Ar aizvērēju; slēdzamas, montāžas palīgmateriāli, putas, stiprinājumi)</t>
  </si>
  <si>
    <t>Ugunsdrošu durvju D-1*, 2gb, (900x2070mm) montāža (finierētas ugunsdrošas EI30, koka konstrukcijas durvis, ar zemo slieksni, slēdzamas, ar ugunsdrošu automātisko aizvērēju un furnitūru EI30, montāžas palīgmateriāli, ugunsdrošas putas, stiprinājumi)</t>
  </si>
  <si>
    <t>Durvju D-2, 1gb. (800x2070mm) montāža (Gludas finierētas koka konstrukcijas iekšdurvis bez sliekšņa, aplodu komplekts, ar WC slēdzeni, montāžas palīgmateriāli, putas, stiprinājumi)</t>
  </si>
  <si>
    <t>Durvju D-4, 1gb. (1000x2070mm) montāža (Gludas finierētas koka konstrukcijas iekšdurvis ar zemo slieksni, aplodu komplekts, ar slēdzeni, 32decibeli, montāžas palīgmateriāli, putas, stiprinājumi)</t>
  </si>
  <si>
    <t>Durvju D-5, 1gb. (1360x2070mm) montāža (divviru gludas finierētas koka konstrukcijas iekšdurvis ar krītošu slieksni, aplodu komplekts, ar slēdzeni, montāžas palīgmateriāli, putas, stiprinājumi)</t>
  </si>
  <si>
    <t>Horizontālā zemētāja RD 10 FT ieklāšana ēkas lentveida pamatos komplektā ar savienojuma un stiprinājuma elementiem</t>
  </si>
  <si>
    <t>UATS paneļa paplašinātāja PSLINE 8Z uzstādīšana, montāža</t>
  </si>
  <si>
    <t>Signalizācijas kabeļa HTKSHekw 1x2x0.8 vai ekvivalenta montāža sienās, aiz piekargriestiem, tajā skaitā ugunsdrošie stiprinājumi.</t>
  </si>
  <si>
    <t>7-1-55</t>
  </si>
  <si>
    <t>Iekšsienu augšējās daļas (starp spārēm) aizdare ar standarta ģipškartonu 2 kārtās no abām pusēm uz metāla karkasa, ieksaitot skaņas izolāciju (tērauda karkass CD/UD, akmens vates izolācijas loksnes b=150mm, skavas, skrūves, dībeļi, kniedes, amortizācijas lenta, riģipsis GKB, vai ekvivalents, skrūves, šuvju tepe, sietlenta šuvēm, blīvēšanas mastika, palīgmateriāli)</t>
  </si>
  <si>
    <t>1-5-87</t>
  </si>
  <si>
    <t>1-5-88</t>
  </si>
  <si>
    <t>1-5-89</t>
  </si>
  <si>
    <t>1-5-90</t>
  </si>
  <si>
    <t>1-5-91</t>
  </si>
  <si>
    <t>1-6-95</t>
  </si>
  <si>
    <t>1-6-96</t>
  </si>
  <si>
    <t>1-6-97</t>
  </si>
  <si>
    <t>1-6-98</t>
  </si>
  <si>
    <t>1-6-99</t>
  </si>
  <si>
    <t>1-7-108</t>
  </si>
  <si>
    <t>1-7-109</t>
  </si>
  <si>
    <t>1-7-110</t>
  </si>
  <si>
    <t>1-7-111</t>
  </si>
  <si>
    <t>1-7-112</t>
  </si>
  <si>
    <t>1-8-123</t>
  </si>
  <si>
    <t>1-8-124</t>
  </si>
  <si>
    <t>1-8-125</t>
  </si>
  <si>
    <t>1-8-126</t>
  </si>
  <si>
    <t>1-8-127</t>
  </si>
  <si>
    <t>1-9-146</t>
  </si>
  <si>
    <t>1-9-147</t>
  </si>
  <si>
    <t>1-9-148</t>
  </si>
  <si>
    <t>1-9-149</t>
  </si>
  <si>
    <t>1-9-150</t>
  </si>
  <si>
    <t>1-10-185</t>
  </si>
  <si>
    <t>1-10-186</t>
  </si>
  <si>
    <t>1-10-187</t>
  </si>
  <si>
    <t>1-10-188</t>
  </si>
  <si>
    <t>1-10-189</t>
  </si>
  <si>
    <t>1-11-192</t>
  </si>
  <si>
    <t>1-11-193</t>
  </si>
  <si>
    <t>1-3-39</t>
  </si>
  <si>
    <t>1-3-40</t>
  </si>
  <si>
    <t>1-3-41</t>
  </si>
  <si>
    <t>1-3-42</t>
  </si>
  <si>
    <t>1-3-43</t>
  </si>
  <si>
    <t>1-3-44</t>
  </si>
  <si>
    <t>1-3-45</t>
  </si>
  <si>
    <t>1-3-46</t>
  </si>
  <si>
    <t>1-3-47</t>
  </si>
  <si>
    <t>1-3-48</t>
  </si>
  <si>
    <t>1-3-49</t>
  </si>
  <si>
    <t>1-5-92</t>
  </si>
  <si>
    <t>1-6-100</t>
  </si>
  <si>
    <t>1-7-113</t>
  </si>
  <si>
    <t>1-8-128</t>
  </si>
  <si>
    <t>1-9-151</t>
  </si>
  <si>
    <t>1-10-190</t>
  </si>
  <si>
    <t>1-11-194</t>
  </si>
  <si>
    <t>1-12-196</t>
  </si>
  <si>
    <t>Smilts pamatne blietējot h=200mm zem pamatiem, izmantojot roku darbu (vidēji rupja smilts, filtr. koef. &gt;1/mdnn,)</t>
  </si>
  <si>
    <t>42 moduļu sadalnes ar N un PE klemmi, IP44 zem apmetuma uzstādīšana, montāža</t>
  </si>
  <si>
    <t>Ievada slēdža 3/10A montāža sadalnē</t>
  </si>
  <si>
    <t>Grupu automāta 3C16 montāža sadalnē</t>
  </si>
  <si>
    <t>El. vienvietīgās rozetes 230V z/a IP20 montāža, t.sk. rozetes mehānismi, montāžas kārbas, rāmīši, stiprinājuma elementi</t>
  </si>
  <si>
    <t>Signal.kabeļa 2x1,0mm2 montāža</t>
  </si>
  <si>
    <t>Dzeleteni-zaļā zemējuma vada H07V-K-1x16 montāža</t>
  </si>
  <si>
    <t>Horizontālā zibensuztvērēja cinkota apaļdzelzs RD8/ALU montāža pa jumtu, notekām komplektā ar savienojuma, stiprinājuma, izplešanās elementiem</t>
  </si>
  <si>
    <t>Potenciālu izlīdzinošās kopnes uzstādīšana</t>
  </si>
  <si>
    <t>2-1-43</t>
  </si>
  <si>
    <t>2-1-44</t>
  </si>
  <si>
    <t>2-1-45</t>
  </si>
  <si>
    <t>2-2-49</t>
  </si>
  <si>
    <t>2-2-50</t>
  </si>
  <si>
    <t>2-2-51</t>
  </si>
  <si>
    <t>2-2-52</t>
  </si>
  <si>
    <t>Ģeotekstila ieklāšana zem pamatiem uz sagatavota smilts slāņa (325gr/m² ģeotekstils)</t>
  </si>
  <si>
    <t>5-3-47</t>
  </si>
  <si>
    <t>5-4-54</t>
  </si>
  <si>
    <t>Dalītās aizsargčaulas  &lt;110mm uzstādīšana esošajam ūdensvada De25 (ievadam ēkā) (dalītā aizsargčaula &lt;110mm, palīgmateriāli)</t>
  </si>
  <si>
    <t>Aizsargčaulas Dn200 uzstādīšana siltumtrases ievadam ēkā (PE aizsargčaula Dn200, palīgmateriāli)</t>
  </si>
  <si>
    <t>Lietus ūdens tekņu 125mm montāža no iepriekš izgatavotiem krāsota skārda elementiem ieskaitot veidgabalus un stiprinājuma elementus (horizontālā tekne Ø125mm=30,50m; kolektori ar gružu sietu 125/80=5gab; teknes gals-6gab;  teknes āķis-34gab; hermētiķi, kniedes, palīgmateriāli)</t>
  </si>
  <si>
    <t>Deformācijas šuvju 5x5mm frēzēšana ar soli 2,10-2,5m, aizpildīšana ar poliuretāna hermētiķi betona grīdām MAPEFLEX PU 40 vai ekvivalents, hermētiķa tonis pelēks, palīgmateriāli )</t>
  </si>
  <si>
    <t>9-1-7</t>
  </si>
  <si>
    <t>1-8-129</t>
  </si>
  <si>
    <t>1-9-152</t>
  </si>
  <si>
    <t>1-10-191</t>
  </si>
  <si>
    <t>1-11-195</t>
  </si>
  <si>
    <t>1-12-197</t>
  </si>
  <si>
    <t>Iekšsienu augšējās daļas (starp spārēm) aizdare ar paaugstinātas ugunsnoturības ģipškartona loksnēm 2 kārtās (EI30) no abām pusēm uz metāla karkasa, ieksaitot skaņas izolāciju (tērauda karkass CD/UD, akmens vates izolācijas loksnes b=150mm, skavas, skrūves, dībeļi, kniedes, amortizācijas lenta, riģipsis GKF vai ekvivalents, skrūves, šuvju tepe, sietlenta šuvēm, blīvēšanas mastika, palīgmateriāli)</t>
  </si>
  <si>
    <t>Esošo lietus ūdens tekņu (uz ass ''B'') pārbūve saglabājot materiālu - tekņu slīpuma regulēšana, ieskaitot esošā konektora pārvietošanu (hermētiķi, kniedes, palīgmateriāli)</t>
  </si>
  <si>
    <t>Šķiedrcementa fasāžu plākšņu montāža ieskaitot logu ailu sānmalas (šķiedru cementa fasādes plāksnes ekvivalentas Cembrit t=8mm rūpnieciski krāsotas, tonis C540 (pēc Cembrit) vai S2010-Y20R pēc NCS kataloga, skrūves plākšņu stiprināšanai, palīgmateriāli)</t>
  </si>
  <si>
    <t>LED gaismekļa ar iebūvētu kustību sensoru 10W, IP44, CRI&gt;80, vismaz A+klases, montāža pie griestiem, t.sk. stiprinājuma un montāžas elementi</t>
  </si>
  <si>
    <t>LED prožektora 2x12W IP44, CRI&gt;80, vismaz A+klases, montāža pie sienas, t.sk. stiprinājuma un montāžas elementi</t>
  </si>
  <si>
    <t>LED prožektora 3x12W IP20, CRI&gt;80, vismaz A+klases, montāža pie sienas, t.sk. stiprinājuma un montāžas elementi</t>
  </si>
  <si>
    <t>LED virsapmetuma paneļa 600x600 IP20, CRI&gt;80, vismaz A+klases, montāža pie griestiem, t.sk. stiprinājuma un montāžas elementi</t>
  </si>
  <si>
    <t>LED iebūvējamā paneļa - apaļā IP20, CRI&gt;80, vismaz A+klases, montāža pie griestiem, t.sk. stiprinājuma un montāžas elementi</t>
  </si>
  <si>
    <t>LED gaismekļa 20W 600mm IP44, CRI&gt;80, vismaz A+klases, montāža pie sienas, t.sk. stiprinājuma un montāžas elementi</t>
  </si>
  <si>
    <t>LED gaismekļa 20W, IP44, CRI&gt;80, vismaz A+klases, montāža pie griestiem, t.sk. stiprinājuma un montāžas elementi</t>
  </si>
  <si>
    <t>Būvdarbu koptāme</t>
  </si>
  <si>
    <t>Pretendents</t>
  </si>
  <si>
    <t>SIA "KraftWork"</t>
  </si>
  <si>
    <t>N.p.k.</t>
  </si>
  <si>
    <t>Izmaksu pozīcija</t>
  </si>
  <si>
    <r>
      <t xml:space="preserve">Objekta izmaksas </t>
    </r>
    <r>
      <rPr>
        <i/>
        <sz val="11"/>
        <rFont val="Arial"/>
        <family val="2"/>
        <charset val="186"/>
      </rPr>
      <t>euro</t>
    </r>
  </si>
  <si>
    <t>1.</t>
  </si>
  <si>
    <t>Kopējā līgumcena</t>
  </si>
  <si>
    <t>PVN</t>
  </si>
  <si>
    <t>Summa kopā ar PVN</t>
  </si>
  <si>
    <t>Sastādīja: _____________________________ Renārs Raups</t>
  </si>
  <si>
    <t xml:space="preserve">            (paraksts un tā atšiferējums. datums)</t>
  </si>
  <si>
    <t>Sertifikāta Nr. 20-6858</t>
  </si>
  <si>
    <t>Pārbaudīja: _____________________________Ivars Ķimsis</t>
  </si>
  <si>
    <t xml:space="preserve">             (paraksts un tā atšiferējums. datums)</t>
  </si>
  <si>
    <t>Sertifikāta Nr.: 4-03105</t>
  </si>
  <si>
    <t>SIA "KraftWork" Valdes loceklis, Renārs Raups</t>
  </si>
  <si>
    <t>Uzņēmuma (uzņēmējsabiedrības, komersanta u.c.) vadītāja vai tā pilnvarotās personas paraksts (ar atšifrējumu)</t>
  </si>
  <si>
    <t>Kopsavilkuma aprēķins</t>
  </si>
  <si>
    <t>Kopējā darbietilpība (c/h)</t>
  </si>
  <si>
    <t>Tāme sastādīta 2021.gada</t>
  </si>
  <si>
    <t>Kods, tāmes Nr.</t>
  </si>
  <si>
    <t>Būvdarbu veids vai konstruktīvā elementa nosaukums</t>
  </si>
  <si>
    <t>Tāmes izmaksas</t>
  </si>
  <si>
    <t>Tai skaitā</t>
  </si>
  <si>
    <t>Darbietilpība (c/h)</t>
  </si>
  <si>
    <t xml:space="preserve">Darba alga </t>
  </si>
  <si>
    <t xml:space="preserve">Būvizstrādājumi </t>
  </si>
  <si>
    <t>Mehānismi</t>
  </si>
  <si>
    <t>Kopā:</t>
  </si>
  <si>
    <t xml:space="preserve">Virsizdevumi </t>
  </si>
  <si>
    <t>t.sk. darba aizsardzība</t>
  </si>
  <si>
    <t>Peļņa</t>
  </si>
  <si>
    <t>Līgumcena kopā:</t>
  </si>
  <si>
    <t>(paraksts un tā atšiferējums. datums)</t>
  </si>
  <si>
    <t>Kods</t>
  </si>
  <si>
    <t>Vienības izmaksas</t>
  </si>
  <si>
    <t>Kopā uz visu apjomu</t>
  </si>
  <si>
    <t>Kopējā izmaksa</t>
  </si>
  <si>
    <t>Laika norma (c/h)</t>
  </si>
  <si>
    <r>
      <t>Darba samaksas likme (</t>
    </r>
    <r>
      <rPr>
        <i/>
        <sz val="10"/>
        <rFont val="Arial"/>
        <family val="2"/>
        <charset val="186"/>
      </rPr>
      <t>euro</t>
    </r>
    <r>
      <rPr>
        <sz val="11"/>
        <color indexed="8"/>
        <rFont val="Calibri"/>
        <family val="2"/>
        <charset val="186"/>
      </rPr>
      <t>/h)</t>
    </r>
  </si>
  <si>
    <r>
      <t>Darba alga</t>
    </r>
    <r>
      <rPr>
        <i/>
        <sz val="10"/>
        <rFont val="Arial"/>
        <family val="2"/>
        <charset val="186"/>
      </rPr>
      <t xml:space="preserve"> (euro</t>
    </r>
    <r>
      <rPr>
        <sz val="11"/>
        <color indexed="8"/>
        <rFont val="Calibri"/>
        <family val="2"/>
        <charset val="186"/>
      </rPr>
      <t>/h)</t>
    </r>
  </si>
  <si>
    <r>
      <t xml:space="preserve">Būvizstrādājumi </t>
    </r>
    <r>
      <rPr>
        <i/>
        <sz val="10"/>
        <rFont val="Arial"/>
        <family val="2"/>
        <charset val="186"/>
      </rPr>
      <t>(euro)</t>
    </r>
  </si>
  <si>
    <r>
      <t xml:space="preserve">Mehānismi </t>
    </r>
    <r>
      <rPr>
        <i/>
        <sz val="10"/>
        <rFont val="Arial"/>
        <family val="2"/>
        <charset val="186"/>
      </rPr>
      <t>(euro)</t>
    </r>
  </si>
  <si>
    <r>
      <t>Kopā  (</t>
    </r>
    <r>
      <rPr>
        <i/>
        <sz val="10"/>
        <rFont val="Arial"/>
        <family val="2"/>
        <charset val="186"/>
      </rPr>
      <t>euro)</t>
    </r>
  </si>
  <si>
    <r>
      <t>Darba alga (</t>
    </r>
    <r>
      <rPr>
        <i/>
        <sz val="10"/>
        <rFont val="Arial"/>
        <family val="2"/>
        <charset val="186"/>
      </rPr>
      <t>euro)</t>
    </r>
  </si>
  <si>
    <r>
      <t>Būvizstrādājumi (</t>
    </r>
    <r>
      <rPr>
        <i/>
        <sz val="10"/>
        <rFont val="Arial"/>
        <family val="2"/>
        <charset val="186"/>
      </rPr>
      <t>euro)</t>
    </r>
  </si>
  <si>
    <r>
      <t>Mehānismi (</t>
    </r>
    <r>
      <rPr>
        <i/>
        <sz val="10"/>
        <rFont val="Arial"/>
        <family val="2"/>
        <charset val="186"/>
      </rPr>
      <t>euro)</t>
    </r>
  </si>
  <si>
    <t>Summa (euro)</t>
  </si>
  <si>
    <t>Tiešās izmaksas kopā, t.sk. darba devēja sociālais nodoklis (23,59%)</t>
  </si>
  <si>
    <t>.</t>
  </si>
  <si>
    <t>Sastādīja: _____________________________Renārs Raups</t>
  </si>
  <si>
    <t>Pārbaudīja:</t>
  </si>
  <si>
    <t>__________________________________ Ivars Ķimsis</t>
  </si>
  <si>
    <t>Būvgružu utilizācija atkritumu poligonā</t>
  </si>
  <si>
    <t>26. aprīlī</t>
  </si>
  <si>
    <t>KLUBA ĒKAS PĀRBŪVE</t>
  </si>
  <si>
    <t>Tāme sastādīta: 26.04.2021</t>
  </si>
  <si>
    <t>Elektroapgāde (ārējā)</t>
  </si>
  <si>
    <t>Ugunsgrēka atklāšanas un trauksmes signalizācijas sistēma</t>
  </si>
  <si>
    <t>Ceļu darbi</t>
  </si>
  <si>
    <t>Ūdensapgāde un kanalizācija (iekšējā)</t>
  </si>
  <si>
    <t>Lietus ūdens kanalizācijas tīkli</t>
  </si>
  <si>
    <r>
      <t>Par kopējo summu (</t>
    </r>
    <r>
      <rPr>
        <i/>
        <sz val="11"/>
        <rFont val="Arial"/>
        <family val="2"/>
        <charset val="186"/>
      </rPr>
      <t>euro</t>
    </r>
    <r>
      <rPr>
        <sz val="11"/>
        <rFont val="Arial"/>
        <family val="2"/>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</si>
</sst>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426]General"/>
    <numFmt numFmtId="166" formatCode="_-* #,##0.00\ _L_s_-;\-* #,##0.00\ _L_s_-;_-* &quot;-&quot;??\ _L_s_-;_-@_-"/>
    <numFmt numFmtId="167" formatCode="[$-426]0.00"/>
    <numFmt numFmtId="168" formatCode="0.0"/>
    <numFmt numFmtId="169" formatCode="_-* #,##0.00\ _L_s_-;\-* #,##0.00\ _L_s_-;_-* \-??\ _L_s_-;_-@_-"/>
    <numFmt numFmtId="170" formatCode="_(* #,##0.00_);_(* \(#,##0.00\);_(* \-??_);_(@_)"/>
    <numFmt numFmtId="171" formatCode="_-&quot;Ls&quot;\ * #,##0.00_-;\-&quot;Ls&quot;\ * #,##0.00_-;_-&quot;Ls&quot;\ * &quot;-&quot;??_-;_-@_-"/>
    <numFmt numFmtId="172" formatCode="#,##0.0000"/>
  </numFmts>
  <fonts count="57">
    <font>
      <sz val="11"/>
      <color indexed="8"/>
      <name val="Calibri"/>
      <family val="2"/>
      <charset val="186"/>
    </font>
    <font>
      <sz val="11"/>
      <color indexed="8"/>
      <name val="Calibri"/>
      <family val="2"/>
      <charset val="186"/>
    </font>
    <font>
      <b/>
      <sz val="10"/>
      <name val="Arial"/>
      <family val="2"/>
      <charset val="186"/>
    </font>
    <font>
      <sz val="10"/>
      <color indexed="8"/>
      <name val="Arial"/>
      <family val="2"/>
      <charset val="186"/>
    </font>
    <font>
      <sz val="10"/>
      <name val="Arial"/>
      <family val="2"/>
      <charset val="186"/>
    </font>
    <font>
      <sz val="10"/>
      <name val="Helv"/>
    </font>
    <font>
      <b/>
      <sz val="10"/>
      <color indexed="8"/>
      <name val="Arial"/>
      <family val="2"/>
      <charset val="186"/>
    </font>
    <font>
      <sz val="10"/>
      <color rgb="FF000000"/>
      <name val="Arial1"/>
    </font>
    <font>
      <sz val="11"/>
      <color indexed="8"/>
      <name val="Calibri"/>
      <family val="2"/>
      <charset val="204"/>
    </font>
    <font>
      <sz val="11"/>
      <color indexed="8"/>
      <name val="Arial"/>
      <family val="2"/>
      <charset val="186"/>
    </font>
    <font>
      <sz val="11"/>
      <color indexed="17"/>
      <name val="Calibri"/>
      <family val="2"/>
      <charset val="186"/>
    </font>
    <font>
      <sz val="10"/>
      <color rgb="FF000000"/>
      <name val="Arial"/>
      <family val="2"/>
      <charset val="186"/>
    </font>
    <font>
      <sz val="10"/>
      <color indexed="8"/>
      <name val="Arial"/>
      <family val="2"/>
      <charset val="204"/>
    </font>
    <font>
      <sz val="10"/>
      <name val="LT Arial"/>
      <charset val="186"/>
    </font>
    <font>
      <sz val="10"/>
      <name val="Arial"/>
      <family val="2"/>
    </font>
    <font>
      <sz val="10"/>
      <name val="Arial"/>
      <family val="2"/>
      <charset val="204"/>
    </font>
    <font>
      <vertAlign val="superscript"/>
      <sz val="10"/>
      <color indexed="8"/>
      <name val="Arial"/>
      <family val="2"/>
      <charset val="186"/>
    </font>
    <font>
      <vertAlign val="superscript"/>
      <sz val="10"/>
      <name val="Arial"/>
      <family val="2"/>
      <charset val="186"/>
    </font>
    <font>
      <sz val="10"/>
      <color theme="1"/>
      <name val="Arial"/>
      <family val="2"/>
      <charset val="186"/>
    </font>
    <font>
      <vertAlign val="superscript"/>
      <sz val="10"/>
      <name val="Arial"/>
      <family val="2"/>
    </font>
    <font>
      <sz val="10"/>
      <color indexed="8"/>
      <name val="Arial"/>
      <family val="2"/>
    </font>
    <font>
      <b/>
      <sz val="10"/>
      <color theme="1"/>
      <name val="Arial"/>
      <family val="2"/>
      <charset val="186"/>
    </font>
    <font>
      <vertAlign val="subscript"/>
      <sz val="10"/>
      <color indexed="8"/>
      <name val="Arial"/>
      <family val="2"/>
      <charset val="186"/>
    </font>
    <font>
      <vertAlign val="subscript"/>
      <sz val="10"/>
      <name val="Arial"/>
      <family val="2"/>
      <charset val="186"/>
    </font>
    <font>
      <b/>
      <u/>
      <sz val="10"/>
      <name val="Arial"/>
      <family val="2"/>
    </font>
    <font>
      <b/>
      <sz val="10"/>
      <name val="Arial"/>
      <family val="2"/>
    </font>
    <font>
      <sz val="9"/>
      <name val="Arial"/>
      <family val="2"/>
    </font>
    <font>
      <sz val="10"/>
      <color rgb="FFFF0000"/>
      <name val="Arial"/>
      <family val="2"/>
      <charset val="186"/>
    </font>
    <font>
      <b/>
      <sz val="10"/>
      <color rgb="FFFF0000"/>
      <name val="Arial"/>
      <family val="2"/>
      <charset val="186"/>
    </font>
    <font>
      <b/>
      <u/>
      <sz val="10"/>
      <name val="Arial"/>
      <family val="2"/>
      <charset val="186"/>
    </font>
    <font>
      <sz val="10"/>
      <name val="Mangal"/>
      <family val="2"/>
      <charset val="186"/>
    </font>
    <font>
      <sz val="10"/>
      <name val="Arial"/>
      <family val="2"/>
      <charset val="1"/>
    </font>
    <font>
      <sz val="10"/>
      <color indexed="8"/>
      <name val="Arial"/>
      <family val="2"/>
      <charset val="1"/>
    </font>
    <font>
      <sz val="10"/>
      <color indexed="10"/>
      <name val="Arial"/>
      <family val="2"/>
      <charset val="186"/>
    </font>
    <font>
      <sz val="11"/>
      <name val="Calibri"/>
      <family val="2"/>
      <charset val="186"/>
    </font>
    <font>
      <sz val="11"/>
      <name val="Arial"/>
      <family val="2"/>
      <charset val="186"/>
    </font>
    <font>
      <b/>
      <sz val="14"/>
      <name val="Arial"/>
      <family val="2"/>
      <charset val="186"/>
    </font>
    <font>
      <b/>
      <sz val="11"/>
      <name val="Arial"/>
      <family val="2"/>
      <charset val="186"/>
    </font>
    <font>
      <sz val="10"/>
      <name val="Arial"/>
    </font>
    <font>
      <b/>
      <sz val="11"/>
      <color rgb="FF002060"/>
      <name val="Arial"/>
      <family val="2"/>
      <charset val="186"/>
    </font>
    <font>
      <u/>
      <sz val="11"/>
      <name val="Arial"/>
      <family val="2"/>
      <charset val="186"/>
    </font>
    <font>
      <i/>
      <sz val="11"/>
      <name val="Arial"/>
      <family val="2"/>
      <charset val="186"/>
    </font>
    <font>
      <sz val="9"/>
      <name val="Times New Roman"/>
      <family val="1"/>
      <charset val="186"/>
    </font>
    <font>
      <i/>
      <sz val="9"/>
      <name val="Times New Roman"/>
      <family val="1"/>
      <charset val="186"/>
    </font>
    <font>
      <sz val="10"/>
      <name val="Times New Roman"/>
      <family val="1"/>
      <charset val="186"/>
    </font>
    <font>
      <sz val="10"/>
      <name val="Times New Roman"/>
      <family val="1"/>
      <charset val="204"/>
    </font>
    <font>
      <sz val="10"/>
      <name val="Times New Roman"/>
      <family val="1"/>
    </font>
    <font>
      <b/>
      <sz val="16"/>
      <name val="Arial"/>
      <family val="2"/>
      <charset val="186"/>
    </font>
    <font>
      <sz val="11"/>
      <color rgb="FF002060"/>
      <name val="Arial"/>
      <family val="2"/>
      <charset val="186"/>
    </font>
    <font>
      <i/>
      <sz val="11"/>
      <color rgb="FF002060"/>
      <name val="Arial"/>
      <family val="2"/>
      <charset val="186"/>
    </font>
    <font>
      <b/>
      <sz val="11"/>
      <name val="Arial"/>
      <family val="2"/>
    </font>
    <font>
      <i/>
      <sz val="11"/>
      <name val="Arial"/>
      <family val="2"/>
    </font>
    <font>
      <sz val="11"/>
      <color indexed="8"/>
      <name val="Times New Roman"/>
      <family val="1"/>
      <charset val="186"/>
    </font>
    <font>
      <i/>
      <sz val="10"/>
      <name val="Times New Roman"/>
      <family val="1"/>
    </font>
    <font>
      <i/>
      <sz val="10"/>
      <name val="Arial"/>
      <family val="2"/>
      <charset val="186"/>
    </font>
    <font>
      <sz val="12"/>
      <name val="Times New Roman"/>
      <family val="1"/>
      <charset val="186"/>
    </font>
    <font>
      <i/>
      <sz val="10"/>
      <name val="Times New Roman"/>
      <family val="1"/>
      <charset val="186"/>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45">
    <xf numFmtId="0" fontId="0" fillId="0" borderId="0"/>
    <xf numFmtId="0" fontId="4" fillId="0" borderId="0"/>
    <xf numFmtId="0" fontId="4" fillId="0" borderId="0">
      <alignment vertical="center" wrapText="1"/>
    </xf>
    <xf numFmtId="0" fontId="5" fillId="0" borderId="0"/>
    <xf numFmtId="0" fontId="1" fillId="0" borderId="0"/>
    <xf numFmtId="0" fontId="5" fillId="0" borderId="0"/>
    <xf numFmtId="0" fontId="4" fillId="0" borderId="0"/>
    <xf numFmtId="164" fontId="4" fillId="0" borderId="0" applyFont="0" applyFill="0" applyBorder="0" applyAlignment="0" applyProtection="0"/>
    <xf numFmtId="165" fontId="7" fillId="0" borderId="0" applyBorder="0" applyProtection="0"/>
    <xf numFmtId="0" fontId="4" fillId="0" borderId="0"/>
    <xf numFmtId="0" fontId="8"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4" fillId="0" borderId="0"/>
    <xf numFmtId="0" fontId="9" fillId="0" borderId="0"/>
    <xf numFmtId="0" fontId="10" fillId="2" borderId="0"/>
    <xf numFmtId="0" fontId="12" fillId="0" borderId="0"/>
    <xf numFmtId="0" fontId="13" fillId="0" borderId="0"/>
    <xf numFmtId="0" fontId="15" fillId="0" borderId="0"/>
    <xf numFmtId="0" fontId="15" fillId="0" borderId="0"/>
    <xf numFmtId="0" fontId="15" fillId="0" borderId="0"/>
    <xf numFmtId="0" fontId="4" fillId="0" borderId="0"/>
    <xf numFmtId="169" fontId="30" fillId="0" borderId="0" applyFill="0" applyBorder="0" applyAlignment="0" applyProtection="0"/>
    <xf numFmtId="169" fontId="30" fillId="0" borderId="0" applyFill="0" applyBorder="0" applyAlignment="0" applyProtection="0"/>
    <xf numFmtId="170" fontId="30" fillId="0" borderId="0" applyFill="0" applyBorder="0" applyAlignment="0" applyProtection="0"/>
    <xf numFmtId="0" fontId="31" fillId="0" borderId="0"/>
    <xf numFmtId="0" fontId="31" fillId="0" borderId="0"/>
    <xf numFmtId="0" fontId="4" fillId="0" borderId="0"/>
    <xf numFmtId="0" fontId="38" fillId="0" borderId="0"/>
    <xf numFmtId="171" fontId="4" fillId="0" borderId="0" applyFont="0" applyFill="0" applyBorder="0" applyAlignment="0" applyProtection="0"/>
    <xf numFmtId="164" fontId="38" fillId="0" borderId="0" applyFont="0" applyFill="0" applyBorder="0" applyAlignment="0" applyProtection="0"/>
    <xf numFmtId="9" fontId="38" fillId="0" borderId="0" applyFont="0" applyFill="0" applyBorder="0" applyAlignment="0" applyProtection="0"/>
    <xf numFmtId="0" fontId="14" fillId="0" borderId="0"/>
    <xf numFmtId="0" fontId="31" fillId="0" borderId="0"/>
    <xf numFmtId="0" fontId="1" fillId="0" borderId="0"/>
    <xf numFmtId="0" fontId="4" fillId="0" borderId="0"/>
    <xf numFmtId="43" fontId="1" fillId="0" borderId="0" applyFont="0" applyFill="0" applyBorder="0" applyAlignment="0" applyProtection="0"/>
    <xf numFmtId="0" fontId="1" fillId="0" borderId="0"/>
    <xf numFmtId="0" fontId="4" fillId="0" borderId="0"/>
    <xf numFmtId="0" fontId="38" fillId="0" borderId="0"/>
    <xf numFmtId="0" fontId="5" fillId="0" borderId="0"/>
    <xf numFmtId="0" fontId="5" fillId="0" borderId="0"/>
    <xf numFmtId="0" fontId="4" fillId="0" borderId="0"/>
    <xf numFmtId="0" fontId="4" fillId="0" borderId="0"/>
  </cellStyleXfs>
  <cellXfs count="322">
    <xf numFmtId="0" fontId="0" fillId="0" borderId="0" xfId="0"/>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3" applyFont="1" applyBorder="1" applyAlignment="1">
      <alignment horizontal="left" vertical="center" wrapText="1"/>
    </xf>
    <xf numFmtId="0" fontId="4" fillId="0" borderId="1" xfId="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1" applyFont="1" applyBorder="1" applyAlignment="1">
      <alignment horizontal="center" vertical="center" wrapText="1"/>
    </xf>
    <xf numFmtId="0" fontId="3" fillId="0" borderId="1" xfId="0" applyFont="1" applyBorder="1" applyAlignment="1">
      <alignment horizontal="center" vertical="center" textRotation="90"/>
    </xf>
    <xf numFmtId="0" fontId="4" fillId="0" borderId="1" xfId="5" applyFont="1" applyBorder="1" applyAlignment="1">
      <alignment vertical="center" wrapText="1"/>
    </xf>
    <xf numFmtId="0" fontId="3" fillId="0" borderId="1" xfId="0" applyFont="1" applyBorder="1" applyAlignment="1">
      <alignment horizontal="center" vertical="center" wrapText="1"/>
    </xf>
    <xf numFmtId="0" fontId="6" fillId="0" borderId="1" xfId="3" applyFont="1" applyBorder="1" applyAlignment="1">
      <alignment horizontal="center" vertical="center" wrapText="1"/>
    </xf>
    <xf numFmtId="0" fontId="2" fillId="0" borderId="1" xfId="3" applyFont="1" applyBorder="1" applyAlignment="1">
      <alignment horizontal="center" vertical="center" wrapText="1"/>
    </xf>
    <xf numFmtId="0" fontId="3" fillId="0" borderId="1" xfId="3" applyFont="1" applyBorder="1" applyAlignment="1">
      <alignment horizontal="center" vertical="center" wrapText="1"/>
    </xf>
    <xf numFmtId="0" fontId="6" fillId="0" borderId="1" xfId="17" applyFont="1" applyBorder="1" applyAlignment="1">
      <alignment horizontal="center" vertical="center" wrapText="1" shrinkToFit="1"/>
    </xf>
    <xf numFmtId="0" fontId="14" fillId="0" borderId="1" xfId="3" applyFont="1" applyBorder="1" applyAlignment="1">
      <alignment horizontal="center" vertical="center" wrapText="1"/>
    </xf>
    <xf numFmtId="0" fontId="4" fillId="0" borderId="1" xfId="5" applyFont="1" applyBorder="1" applyAlignment="1">
      <alignment horizontal="center" vertical="center" wrapText="1"/>
    </xf>
    <xf numFmtId="0" fontId="3" fillId="0" borderId="1" xfId="1" applyFont="1" applyBorder="1" applyAlignment="1">
      <alignment horizontal="left" vertical="center" wrapText="1"/>
    </xf>
    <xf numFmtId="165" fontId="11" fillId="0" borderId="1" xfId="3" applyNumberFormat="1" applyFont="1" applyBorder="1" applyAlignment="1">
      <alignment horizontal="left" vertical="center" wrapText="1"/>
    </xf>
    <xf numFmtId="0" fontId="3" fillId="0" borderId="1" xfId="3" applyFont="1" applyBorder="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4" fillId="0" borderId="1" xfId="17" applyFont="1" applyBorder="1" applyAlignment="1">
      <alignment horizontal="center" vertical="center" wrapText="1" shrinkToFit="1"/>
    </xf>
    <xf numFmtId="0" fontId="14" fillId="0" borderId="1" xfId="3" applyFont="1" applyBorder="1" applyAlignment="1">
      <alignment horizontal="center" vertical="center"/>
    </xf>
    <xf numFmtId="0" fontId="14" fillId="0" borderId="1" xfId="17" applyFont="1" applyBorder="1" applyAlignment="1">
      <alignment horizontal="left" vertical="center" wrapText="1"/>
    </xf>
    <xf numFmtId="0" fontId="14" fillId="0" borderId="1" xfId="3" applyFont="1" applyBorder="1" applyAlignment="1">
      <alignment horizontal="left" vertical="center" wrapText="1"/>
    </xf>
    <xf numFmtId="0" fontId="25" fillId="0" borderId="1" xfId="17" applyFont="1" applyBorder="1" applyAlignment="1">
      <alignment horizontal="center" vertical="center" wrapText="1" shrinkToFit="1"/>
    </xf>
    <xf numFmtId="2" fontId="14" fillId="0" borderId="1" xfId="0" applyNumberFormat="1" applyFont="1" applyBorder="1" applyAlignment="1">
      <alignment horizontal="left" vertical="center" wrapText="1"/>
    </xf>
    <xf numFmtId="0" fontId="26" fillId="0" borderId="1" xfId="0" applyFont="1" applyBorder="1" applyAlignment="1">
      <alignment vertical="center" wrapText="1"/>
    </xf>
    <xf numFmtId="49" fontId="4" fillId="3" borderId="1" xfId="0" applyNumberFormat="1" applyFont="1" applyFill="1" applyBorder="1" applyAlignment="1">
      <alignment horizontal="left" vertical="center" wrapText="1"/>
    </xf>
    <xf numFmtId="0" fontId="26" fillId="0" borderId="1" xfId="0" applyFont="1" applyBorder="1" applyAlignment="1">
      <alignment horizontal="center" vertical="center"/>
    </xf>
    <xf numFmtId="0" fontId="29" fillId="0" borderId="1" xfId="17" applyFont="1" applyBorder="1" applyAlignment="1">
      <alignment horizontal="center" vertical="center" wrapText="1" shrinkToFit="1"/>
    </xf>
    <xf numFmtId="0" fontId="4" fillId="0" borderId="1" xfId="3" applyFont="1" applyBorder="1" applyAlignment="1">
      <alignment horizontal="center" vertical="center"/>
    </xf>
    <xf numFmtId="0" fontId="4" fillId="0" borderId="1" xfId="17" applyFont="1" applyBorder="1" applyAlignment="1">
      <alignment horizontal="left" vertical="center" wrapText="1"/>
    </xf>
    <xf numFmtId="0" fontId="2" fillId="0" borderId="1" xfId="17" applyFont="1" applyBorder="1" applyAlignment="1">
      <alignment horizontal="center" vertical="center" wrapText="1" shrinkToFit="1"/>
    </xf>
    <xf numFmtId="2" fontId="4" fillId="0" borderId="1" xfId="0" applyNumberFormat="1" applyFont="1" applyBorder="1" applyAlignment="1">
      <alignment horizontal="left" vertical="center" wrapText="1"/>
    </xf>
    <xf numFmtId="0" fontId="3" fillId="0" borderId="3" xfId="0" applyFont="1" applyBorder="1" applyAlignment="1">
      <alignment horizontal="center" vertical="center" textRotation="90"/>
    </xf>
    <xf numFmtId="0" fontId="4" fillId="0" borderId="1" xfId="0" applyFont="1" applyFill="1" applyBorder="1" applyAlignment="1">
      <alignment vertical="center" wrapText="1"/>
    </xf>
    <xf numFmtId="0" fontId="4" fillId="0" borderId="1" xfId="1" applyFont="1" applyBorder="1" applyAlignment="1">
      <alignment horizontal="left" vertical="center" wrapText="1"/>
    </xf>
    <xf numFmtId="0" fontId="4" fillId="0" borderId="1" xfId="3" applyFont="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6" fillId="0" borderId="1" xfId="0" applyFont="1" applyBorder="1" applyAlignment="1">
      <alignment horizontal="center" vertical="center" wrapText="1"/>
    </xf>
    <xf numFmtId="0" fontId="4" fillId="0" borderId="0" xfId="28" applyFont="1" applyAlignment="1">
      <alignment vertical="center"/>
    </xf>
    <xf numFmtId="0" fontId="35" fillId="0" borderId="0" xfId="28" applyFont="1" applyBorder="1" applyAlignment="1">
      <alignment horizontal="left" vertical="center"/>
    </xf>
    <xf numFmtId="0" fontId="4" fillId="0" borderId="0" xfId="28" applyFont="1" applyAlignment="1">
      <alignment horizontal="center" vertical="center"/>
    </xf>
    <xf numFmtId="0" fontId="36" fillId="0" borderId="0" xfId="28" applyFont="1" applyAlignment="1">
      <alignment horizontal="center" vertical="center"/>
    </xf>
    <xf numFmtId="0" fontId="35" fillId="0" borderId="0" xfId="28" applyFont="1" applyAlignment="1">
      <alignment horizontal="left" vertical="center"/>
    </xf>
    <xf numFmtId="0" fontId="35" fillId="0" borderId="0" xfId="28" applyFont="1" applyAlignment="1">
      <alignment vertical="center"/>
    </xf>
    <xf numFmtId="0" fontId="37" fillId="0" borderId="0" xfId="28" applyFont="1" applyAlignment="1">
      <alignment horizontal="right" vertical="center"/>
    </xf>
    <xf numFmtId="2" fontId="37" fillId="0" borderId="0" xfId="28" applyNumberFormat="1" applyFont="1" applyAlignment="1">
      <alignment horizontal="center" vertical="center" wrapText="1"/>
    </xf>
    <xf numFmtId="0" fontId="39" fillId="0" borderId="0" xfId="29" applyFont="1" applyAlignment="1">
      <alignment horizontal="left" vertical="center"/>
    </xf>
    <xf numFmtId="0" fontId="40" fillId="0" borderId="0" xfId="28" applyFont="1" applyFill="1" applyAlignment="1">
      <alignment vertical="center"/>
    </xf>
    <xf numFmtId="0" fontId="35" fillId="0" borderId="1" xfId="28" applyFont="1" applyFill="1" applyBorder="1" applyAlignment="1">
      <alignment horizontal="center" vertical="center" wrapText="1"/>
    </xf>
    <xf numFmtId="0" fontId="35" fillId="0" borderId="1" xfId="28" applyFont="1" applyFill="1" applyBorder="1" applyAlignment="1">
      <alignment horizontal="center" vertical="center"/>
    </xf>
    <xf numFmtId="39" fontId="35" fillId="0" borderId="1" xfId="31" applyNumberFormat="1" applyFont="1" applyFill="1" applyBorder="1" applyAlignment="1">
      <alignment horizontal="center" vertical="center" wrapText="1"/>
    </xf>
    <xf numFmtId="0" fontId="37" fillId="0" borderId="5" xfId="28" applyFont="1" applyFill="1" applyBorder="1" applyAlignment="1">
      <alignment horizontal="right" vertical="center" wrapText="1"/>
    </xf>
    <xf numFmtId="39" fontId="37" fillId="0" borderId="1" xfId="31" applyNumberFormat="1" applyFont="1" applyFill="1" applyBorder="1" applyAlignment="1">
      <alignment horizontal="center" vertical="center"/>
    </xf>
    <xf numFmtId="9" fontId="35" fillId="0" borderId="5" xfId="32" applyFont="1" applyFill="1" applyBorder="1" applyAlignment="1">
      <alignment horizontal="center" vertical="center" wrapText="1"/>
    </xf>
    <xf numFmtId="39" fontId="35" fillId="0" borderId="1" xfId="31" applyNumberFormat="1" applyFont="1" applyFill="1" applyBorder="1" applyAlignment="1">
      <alignment horizontal="center" vertical="center"/>
    </xf>
    <xf numFmtId="0" fontId="42" fillId="0" borderId="0" xfId="29" applyFont="1" applyAlignment="1">
      <alignment vertical="center"/>
    </xf>
    <xf numFmtId="0" fontId="42" fillId="0" borderId="0" xfId="29" applyFont="1" applyAlignment="1">
      <alignment vertical="center" wrapText="1"/>
    </xf>
    <xf numFmtId="0" fontId="42" fillId="0" borderId="0" xfId="29" applyNumberFormat="1" applyFont="1" applyFill="1" applyBorder="1" applyAlignment="1" applyProtection="1">
      <alignment vertical="center" wrapText="1"/>
    </xf>
    <xf numFmtId="0" fontId="42" fillId="0" borderId="0" xfId="29" applyFont="1" applyBorder="1" applyAlignment="1">
      <alignment vertical="center"/>
    </xf>
    <xf numFmtId="0" fontId="42" fillId="0" borderId="0" xfId="29" applyNumberFormat="1" applyFont="1" applyFill="1" applyBorder="1" applyAlignment="1" applyProtection="1">
      <alignment horizontal="center" vertical="center"/>
    </xf>
    <xf numFmtId="0" fontId="14" fillId="0" borderId="0" xfId="33" applyFont="1" applyFill="1" applyBorder="1" applyAlignment="1">
      <alignment horizontal="left" vertical="center"/>
    </xf>
    <xf numFmtId="0" fontId="42" fillId="0" borderId="0" xfId="34" applyNumberFormat="1" applyFont="1" applyFill="1" applyBorder="1" applyAlignment="1" applyProtection="1">
      <alignment horizontal="left" vertical="center"/>
    </xf>
    <xf numFmtId="0" fontId="14" fillId="0" borderId="0" xfId="35" applyFont="1" applyFill="1" applyAlignment="1">
      <alignment horizontal="center" vertical="center"/>
    </xf>
    <xf numFmtId="0" fontId="4" fillId="0" borderId="0" xfId="28" applyFont="1" applyAlignment="1">
      <alignment horizontal="right" vertical="center"/>
    </xf>
    <xf numFmtId="0" fontId="14" fillId="0" borderId="0" xfId="35" applyFont="1" applyFill="1" applyAlignment="1">
      <alignment vertical="center"/>
    </xf>
    <xf numFmtId="0" fontId="43" fillId="0" borderId="0" xfId="34" applyNumberFormat="1" applyFont="1" applyFill="1" applyBorder="1" applyAlignment="1" applyProtection="1">
      <alignment vertical="center"/>
    </xf>
    <xf numFmtId="0" fontId="4" fillId="0" borderId="0" xfId="28" applyFont="1" applyBorder="1" applyAlignment="1">
      <alignment horizontal="center" vertical="center"/>
    </xf>
    <xf numFmtId="0" fontId="42" fillId="0" borderId="0" xfId="34" applyNumberFormat="1" applyFont="1" applyFill="1" applyBorder="1" applyAlignment="1" applyProtection="1">
      <alignment vertical="center"/>
    </xf>
    <xf numFmtId="0" fontId="14" fillId="0" borderId="0" xfId="35" applyFont="1" applyFill="1" applyBorder="1" applyAlignment="1">
      <alignment horizontal="center" vertical="center"/>
    </xf>
    <xf numFmtId="0" fontId="1" fillId="0" borderId="0" xfId="35" applyFill="1" applyAlignment="1">
      <alignment vertical="center"/>
    </xf>
    <xf numFmtId="49" fontId="14" fillId="0" borderId="0" xfId="33" applyNumberFormat="1" applyFont="1" applyFill="1" applyBorder="1" applyAlignment="1">
      <alignment vertical="center"/>
    </xf>
    <xf numFmtId="0" fontId="14" fillId="0" borderId="0" xfId="33" applyFont="1" applyFill="1" applyBorder="1" applyAlignment="1">
      <alignment horizontal="center" vertical="center"/>
    </xf>
    <xf numFmtId="0" fontId="45" fillId="0" borderId="0" xfId="29" applyFont="1" applyAlignment="1">
      <alignment vertical="center"/>
    </xf>
    <xf numFmtId="0" fontId="46" fillId="0" borderId="0" xfId="29" applyFont="1" applyFill="1" applyAlignment="1">
      <alignment vertical="center"/>
    </xf>
    <xf numFmtId="0" fontId="42" fillId="0" borderId="0" xfId="29" applyNumberFormat="1" applyFont="1" applyFill="1" applyBorder="1" applyAlignment="1" applyProtection="1">
      <alignment horizontal="left" vertical="center"/>
    </xf>
    <xf numFmtId="0" fontId="4" fillId="0" borderId="0" xfId="29" applyFont="1" applyAlignment="1">
      <alignment vertical="center"/>
    </xf>
    <xf numFmtId="0" fontId="47" fillId="0" borderId="0" xfId="29" applyFont="1" applyAlignment="1">
      <alignment horizontal="center" vertical="center"/>
    </xf>
    <xf numFmtId="0" fontId="35" fillId="0" borderId="0" xfId="29" applyFont="1" applyAlignment="1">
      <alignment vertical="center"/>
    </xf>
    <xf numFmtId="0" fontId="35" fillId="0" borderId="0" xfId="29" applyFont="1" applyAlignment="1">
      <alignment horizontal="left" vertical="center" wrapText="1"/>
    </xf>
    <xf numFmtId="0" fontId="35" fillId="0" borderId="0" xfId="29" applyFont="1" applyAlignment="1">
      <alignment horizontal="center" vertical="center"/>
    </xf>
    <xf numFmtId="4" fontId="48" fillId="0" borderId="7" xfId="29" applyNumberFormat="1" applyFont="1" applyBorder="1" applyAlignment="1">
      <alignment horizontal="center" vertical="center"/>
    </xf>
    <xf numFmtId="4" fontId="49" fillId="0" borderId="7" xfId="29" applyNumberFormat="1" applyFont="1" applyBorder="1" applyAlignment="1">
      <alignment horizontal="center" vertical="center"/>
    </xf>
    <xf numFmtId="0" fontId="35" fillId="0" borderId="0" xfId="29" applyFont="1" applyAlignment="1">
      <alignment horizontal="right" vertical="center"/>
    </xf>
    <xf numFmtId="0" fontId="35" fillId="0" borderId="0" xfId="28" applyFont="1" applyAlignment="1">
      <alignment horizontal="center" vertical="center" wrapText="1"/>
    </xf>
    <xf numFmtId="0" fontId="35" fillId="0" borderId="1" xfId="29" applyFont="1" applyFill="1" applyBorder="1" applyAlignment="1">
      <alignment horizontal="center" vertical="center" wrapText="1"/>
    </xf>
    <xf numFmtId="0" fontId="35" fillId="0" borderId="1" xfId="29" applyFont="1" applyFill="1" applyBorder="1" applyAlignment="1">
      <alignment horizontal="center" vertical="center"/>
    </xf>
    <xf numFmtId="0" fontId="35" fillId="0" borderId="2" xfId="29" applyFont="1" applyFill="1" applyBorder="1" applyAlignment="1">
      <alignment horizontal="center" vertical="center"/>
    </xf>
    <xf numFmtId="4" fontId="35" fillId="0" borderId="1" xfId="31" applyNumberFormat="1" applyFont="1" applyFill="1" applyBorder="1" applyAlignment="1">
      <alignment horizontal="center" vertical="center"/>
    </xf>
    <xf numFmtId="4" fontId="35" fillId="0" borderId="0" xfId="29" applyNumberFormat="1" applyFont="1" applyAlignment="1">
      <alignment horizontal="center" vertical="center"/>
    </xf>
    <xf numFmtId="4" fontId="50" fillId="0" borderId="1" xfId="31" applyNumberFormat="1" applyFont="1" applyFill="1" applyBorder="1" applyAlignment="1">
      <alignment horizontal="center" vertical="center"/>
    </xf>
    <xf numFmtId="0" fontId="35" fillId="0" borderId="2" xfId="29" applyFont="1" applyFill="1" applyBorder="1" applyAlignment="1">
      <alignment vertical="center"/>
    </xf>
    <xf numFmtId="0" fontId="35" fillId="0" borderId="2" xfId="29" applyFont="1" applyFill="1" applyBorder="1" applyAlignment="1">
      <alignment horizontal="right" vertical="center"/>
    </xf>
    <xf numFmtId="10" fontId="35" fillId="0" borderId="2" xfId="29" applyNumberFormat="1" applyFont="1" applyFill="1" applyBorder="1" applyAlignment="1">
      <alignment horizontal="center" vertical="center"/>
    </xf>
    <xf numFmtId="4" fontId="35" fillId="0" borderId="0" xfId="31" applyNumberFormat="1" applyFont="1" applyFill="1" applyBorder="1" applyAlignment="1">
      <alignment horizontal="center" vertical="center"/>
    </xf>
    <xf numFmtId="0" fontId="35" fillId="0" borderId="1" xfId="29" applyFont="1" applyFill="1" applyBorder="1" applyAlignment="1">
      <alignment horizontal="right" vertical="center"/>
    </xf>
    <xf numFmtId="0" fontId="41" fillId="0" borderId="1" xfId="29" applyFont="1" applyFill="1" applyBorder="1" applyAlignment="1">
      <alignment horizontal="right" vertical="center"/>
    </xf>
    <xf numFmtId="10" fontId="41" fillId="0" borderId="1" xfId="29" applyNumberFormat="1" applyFont="1" applyFill="1" applyBorder="1" applyAlignment="1">
      <alignment horizontal="center" vertical="center"/>
    </xf>
    <xf numFmtId="4" fontId="51" fillId="0" borderId="1" xfId="31" applyNumberFormat="1" applyFont="1" applyFill="1" applyBorder="1" applyAlignment="1">
      <alignment horizontal="center" vertical="center"/>
    </xf>
    <xf numFmtId="0" fontId="37" fillId="0" borderId="2" xfId="29" applyFont="1" applyFill="1" applyBorder="1" applyAlignment="1">
      <alignment vertical="center"/>
    </xf>
    <xf numFmtId="0" fontId="37" fillId="0" borderId="2" xfId="29" applyFont="1" applyFill="1" applyBorder="1" applyAlignment="1">
      <alignment horizontal="center" vertical="center"/>
    </xf>
    <xf numFmtId="0" fontId="4" fillId="0" borderId="0" xfId="29" applyFont="1" applyFill="1" applyBorder="1" applyAlignment="1">
      <alignment vertical="center"/>
    </xf>
    <xf numFmtId="0" fontId="4" fillId="0" borderId="0" xfId="29" applyFont="1" applyFill="1" applyBorder="1" applyAlignment="1">
      <alignment horizontal="center" vertical="center"/>
    </xf>
    <xf numFmtId="4" fontId="4" fillId="0" borderId="0" xfId="29" applyNumberFormat="1" applyFont="1" applyFill="1" applyBorder="1" applyAlignment="1">
      <alignment horizontal="center" vertical="center"/>
    </xf>
    <xf numFmtId="4" fontId="4" fillId="0" borderId="0" xfId="29" applyNumberFormat="1" applyFont="1" applyAlignment="1">
      <alignment horizontal="center" vertical="center"/>
    </xf>
    <xf numFmtId="0" fontId="4" fillId="0" borderId="0" xfId="29" applyFont="1" applyAlignment="1">
      <alignment horizontal="center" vertical="center"/>
    </xf>
    <xf numFmtId="0" fontId="52" fillId="0" borderId="0" xfId="29" applyFont="1" applyAlignment="1" applyProtection="1">
      <alignment vertical="center"/>
      <protection locked="0"/>
    </xf>
    <xf numFmtId="0" fontId="46" fillId="0" borderId="0" xfId="34" applyNumberFormat="1" applyFont="1" applyFill="1" applyBorder="1" applyAlignment="1" applyProtection="1">
      <alignment horizontal="left" vertical="center"/>
    </xf>
    <xf numFmtId="0" fontId="53" fillId="0" borderId="0" xfId="34" applyNumberFormat="1" applyFont="1" applyFill="1" applyBorder="1" applyAlignment="1" applyProtection="1">
      <alignment horizontal="center" vertical="center"/>
    </xf>
    <xf numFmtId="0" fontId="46" fillId="0" borderId="0" xfId="34" applyNumberFormat="1" applyFont="1" applyFill="1" applyBorder="1" applyAlignment="1" applyProtection="1">
      <alignment vertical="center"/>
    </xf>
    <xf numFmtId="0" fontId="46" fillId="0" borderId="0" xfId="35" applyFont="1" applyFill="1" applyAlignment="1">
      <alignment vertical="center"/>
    </xf>
    <xf numFmtId="4" fontId="4" fillId="0" borderId="0" xfId="29" applyNumberFormat="1" applyFont="1" applyBorder="1" applyAlignment="1">
      <alignment horizontal="center" vertical="center"/>
    </xf>
    <xf numFmtId="4" fontId="4" fillId="0" borderId="0" xfId="29" applyNumberFormat="1" applyFont="1" applyFill="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49" fontId="2"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2" fillId="0" borderId="3" xfId="3"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5" applyFont="1" applyBorder="1" applyAlignment="1">
      <alignment horizontal="center" vertical="center"/>
    </xf>
    <xf numFmtId="2" fontId="4" fillId="0" borderId="1" xfId="5" applyNumberFormat="1" applyFont="1" applyBorder="1" applyAlignment="1">
      <alignment horizontal="center" vertical="center"/>
    </xf>
    <xf numFmtId="2" fontId="4" fillId="0" borderId="1" xfId="7" applyNumberForma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20" fillId="0" borderId="1" xfId="7" applyNumberFormat="1" applyFont="1" applyBorder="1" applyAlignment="1">
      <alignment horizontal="center" vertical="center"/>
    </xf>
    <xf numFmtId="2" fontId="4" fillId="0" borderId="1" xfId="7" applyNumberFormat="1" applyFont="1" applyBorder="1" applyAlignment="1">
      <alignment horizontal="center" vertical="center"/>
    </xf>
    <xf numFmtId="0" fontId="0" fillId="0" borderId="1" xfId="0" applyBorder="1" applyAlignment="1">
      <alignment horizontal="center" vertical="center" wrapText="1"/>
    </xf>
    <xf numFmtId="2" fontId="3" fillId="0" borderId="1" xfId="3" applyNumberFormat="1" applyFont="1" applyBorder="1" applyAlignment="1">
      <alignment horizontal="center" vertical="center" wrapText="1"/>
    </xf>
    <xf numFmtId="2" fontId="4" fillId="0" borderId="1" xfId="3" applyNumberFormat="1" applyFont="1" applyBorder="1" applyAlignment="1">
      <alignment horizontal="center" vertical="center" wrapText="1"/>
    </xf>
    <xf numFmtId="0" fontId="18" fillId="0" borderId="1" xfId="0" applyFont="1" applyBorder="1" applyAlignment="1">
      <alignment horizontal="left" vertical="center" wrapText="1"/>
    </xf>
    <xf numFmtId="0" fontId="34" fillId="0" borderId="1" xfId="0" applyFont="1" applyBorder="1" applyAlignment="1">
      <alignment horizontal="center" vertical="center" wrapText="1"/>
    </xf>
    <xf numFmtId="2" fontId="4" fillId="0" borderId="1" xfId="7" applyNumberForma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1" applyBorder="1" applyAlignment="1">
      <alignment horizontal="center" vertical="center" wrapText="1"/>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7" fontId="11" fillId="0" borderId="1" xfId="0" applyNumberFormat="1" applyFont="1" applyBorder="1" applyAlignment="1">
      <alignment horizontal="center" vertical="center" wrapText="1"/>
    </xf>
    <xf numFmtId="2" fontId="11" fillId="0" borderId="1" xfId="3"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0" fontId="4" fillId="0" borderId="0" xfId="3" applyFont="1" applyAlignment="1">
      <alignment vertical="center"/>
    </xf>
    <xf numFmtId="0" fontId="2" fillId="0" borderId="0" xfId="0" applyFont="1" applyAlignment="1">
      <alignment vertical="center"/>
    </xf>
    <xf numFmtId="2" fontId="2" fillId="0" borderId="0" xfId="3" applyNumberFormat="1" applyFont="1" applyAlignment="1">
      <alignment horizontal="center" vertical="center"/>
    </xf>
    <xf numFmtId="2" fontId="3" fillId="0" borderId="1" xfId="5" applyNumberFormat="1" applyFont="1" applyBorder="1" applyAlignment="1">
      <alignment horizontal="center" vertical="center"/>
    </xf>
    <xf numFmtId="2" fontId="3" fillId="0" borderId="1" xfId="7" applyNumberFormat="1" applyFont="1" applyBorder="1" applyAlignment="1">
      <alignment horizontal="center" vertical="center"/>
    </xf>
    <xf numFmtId="4" fontId="3" fillId="0" borderId="1" xfId="7" applyNumberFormat="1" applyFont="1" applyBorder="1" applyAlignment="1">
      <alignment horizontal="center" vertical="center"/>
    </xf>
    <xf numFmtId="2" fontId="18" fillId="0" borderId="1" xfId="0" applyNumberFormat="1" applyFont="1" applyBorder="1" applyAlignment="1">
      <alignment horizontal="center" vertical="center"/>
    </xf>
    <xf numFmtId="0" fontId="18" fillId="0" borderId="1" xfId="0" applyFont="1" applyFill="1" applyBorder="1" applyAlignment="1">
      <alignment horizontal="center" vertical="center"/>
    </xf>
    <xf numFmtId="2" fontId="18" fillId="0" borderId="1" xfId="0" applyNumberFormat="1" applyFont="1" applyFill="1" applyBorder="1" applyAlignment="1">
      <alignment horizontal="center" vertical="center"/>
    </xf>
    <xf numFmtId="0" fontId="3" fillId="0" borderId="0" xfId="0" applyFont="1" applyFill="1" applyAlignment="1">
      <alignment vertical="center"/>
    </xf>
    <xf numFmtId="0" fontId="18" fillId="0" borderId="1" xfId="0" applyFont="1" applyBorder="1" applyAlignment="1">
      <alignment vertical="center"/>
    </xf>
    <xf numFmtId="0" fontId="4" fillId="0" borderId="1" xfId="11" applyBorder="1" applyAlignment="1">
      <alignment horizontal="center" vertical="center"/>
    </xf>
    <xf numFmtId="2" fontId="4" fillId="0" borderId="1" xfId="11" applyNumberFormat="1" applyBorder="1" applyAlignment="1">
      <alignment horizontal="center" vertical="center"/>
    </xf>
    <xf numFmtId="0" fontId="4" fillId="0" borderId="1" xfId="11" applyBorder="1" applyAlignment="1">
      <alignment vertical="center" wrapText="1"/>
    </xf>
    <xf numFmtId="0" fontId="18" fillId="3" borderId="1" xfId="0" applyFont="1" applyFill="1" applyBorder="1" applyAlignment="1">
      <alignment horizontal="center" vertical="center"/>
    </xf>
    <xf numFmtId="2" fontId="18" fillId="3" borderId="1" xfId="0" applyNumberFormat="1" applyFont="1" applyFill="1" applyBorder="1" applyAlignment="1">
      <alignment horizontal="center" vertical="center"/>
    </xf>
    <xf numFmtId="49" fontId="2" fillId="0" borderId="1" xfId="0" applyNumberFormat="1" applyFont="1" applyBorder="1" applyAlignment="1">
      <alignment vertical="center"/>
    </xf>
    <xf numFmtId="2" fontId="14" fillId="0" borderId="1" xfId="0" applyNumberFormat="1" applyFont="1" applyBorder="1" applyAlignment="1">
      <alignment horizontal="center" vertical="center"/>
    </xf>
    <xf numFmtId="2" fontId="4" fillId="0" borderId="1" xfId="0" applyNumberFormat="1" applyFont="1" applyBorder="1" applyAlignment="1">
      <alignment horizontal="left" vertical="center"/>
    </xf>
    <xf numFmtId="2" fontId="14" fillId="0" borderId="1" xfId="5" applyNumberFormat="1" applyFont="1" applyBorder="1" applyAlignment="1">
      <alignment horizontal="center" vertical="center"/>
    </xf>
    <xf numFmtId="2" fontId="4" fillId="0" borderId="1" xfId="9" applyNumberFormat="1" applyBorder="1" applyAlignment="1">
      <alignment horizontal="left" vertical="center" wrapText="1"/>
    </xf>
    <xf numFmtId="49" fontId="25" fillId="0" borderId="1" xfId="0" applyNumberFormat="1" applyFont="1" applyBorder="1" applyAlignment="1">
      <alignment vertical="center"/>
    </xf>
    <xf numFmtId="0" fontId="14" fillId="0" borderId="1" xfId="0" applyFont="1" applyBorder="1" applyAlignment="1">
      <alignment horizontal="left" vertical="center" wrapText="1"/>
    </xf>
    <xf numFmtId="2" fontId="14" fillId="0" borderId="1" xfId="0" applyNumberFormat="1" applyFont="1" applyBorder="1" applyAlignment="1">
      <alignment horizontal="left" vertical="center"/>
    </xf>
    <xf numFmtId="2" fontId="14" fillId="0" borderId="1" xfId="9" applyNumberFormat="1" applyFont="1" applyBorder="1" applyAlignment="1">
      <alignment horizontal="left" vertical="center" wrapText="1"/>
    </xf>
    <xf numFmtId="0" fontId="27" fillId="0" borderId="1" xfId="3" applyFont="1" applyBorder="1" applyAlignment="1">
      <alignment horizontal="center" vertical="center"/>
    </xf>
    <xf numFmtId="2" fontId="27" fillId="0" borderId="1" xfId="5" applyNumberFormat="1" applyFont="1" applyBorder="1" applyAlignment="1">
      <alignment horizontal="center" vertical="center"/>
    </xf>
    <xf numFmtId="168"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168" fontId="4" fillId="0" borderId="1" xfId="0" applyNumberFormat="1" applyFont="1" applyFill="1" applyBorder="1" applyAlignment="1">
      <alignment horizontal="center" vertical="center"/>
    </xf>
    <xf numFmtId="168"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2" fontId="4" fillId="3" borderId="1" xfId="0" applyNumberFormat="1" applyFont="1" applyFill="1" applyBorder="1" applyAlignment="1">
      <alignment horizontal="center" vertical="center"/>
    </xf>
    <xf numFmtId="0" fontId="4" fillId="3" borderId="1" xfId="20" applyFont="1" applyFill="1" applyBorder="1" applyAlignment="1">
      <alignment horizontal="left" vertical="center" wrapText="1"/>
    </xf>
    <xf numFmtId="0" fontId="14" fillId="3" borderId="1" xfId="0" applyFont="1" applyFill="1" applyBorder="1" applyAlignment="1">
      <alignment horizontal="center" vertical="center"/>
    </xf>
    <xf numFmtId="2" fontId="14" fillId="3" borderId="1" xfId="0" applyNumberFormat="1" applyFont="1" applyFill="1" applyBorder="1" applyAlignment="1">
      <alignment horizontal="center" vertical="center"/>
    </xf>
    <xf numFmtId="0" fontId="14" fillId="3" borderId="1" xfId="20" applyFont="1" applyFill="1" applyBorder="1" applyAlignment="1">
      <alignment horizontal="left" vertical="center" wrapText="1"/>
    </xf>
    <xf numFmtId="0" fontId="4" fillId="0" borderId="1" xfId="0" applyFont="1" applyBorder="1" applyAlignment="1">
      <alignment vertical="center"/>
    </xf>
    <xf numFmtId="0" fontId="3" fillId="0" borderId="1" xfId="0" applyFont="1" applyBorder="1" applyAlignment="1">
      <alignment vertical="center" wrapText="1"/>
    </xf>
    <xf numFmtId="172" fontId="4" fillId="0" borderId="1" xfId="0" applyNumberFormat="1"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2" fontId="4" fillId="0" borderId="1" xfId="0" applyNumberFormat="1" applyFont="1" applyFill="1" applyBorder="1" applyAlignment="1">
      <alignment horizontal="center" vertical="center" textRotation="90" wrapText="1"/>
    </xf>
    <xf numFmtId="49" fontId="0" fillId="0" borderId="1" xfId="0" applyNumberFormat="1" applyFill="1" applyBorder="1" applyAlignment="1">
      <alignment horizontal="center" vertical="center"/>
    </xf>
    <xf numFmtId="0" fontId="0" fillId="0" borderId="1" xfId="0" applyFill="1" applyBorder="1" applyAlignment="1">
      <alignment vertical="center" wrapText="1"/>
    </xf>
    <xf numFmtId="2" fontId="0" fillId="0" borderId="1" xfId="0" applyNumberFormat="1" applyFill="1" applyBorder="1" applyAlignment="1">
      <alignment horizontal="center" vertical="center"/>
    </xf>
    <xf numFmtId="4" fontId="4" fillId="0" borderId="1" xfId="36" applyNumberFormat="1" applyFont="1" applyFill="1" applyBorder="1" applyAlignment="1">
      <alignment horizontal="center" vertical="center"/>
    </xf>
    <xf numFmtId="4" fontId="4" fillId="0" borderId="1" xfId="37" applyNumberFormat="1" applyFont="1" applyBorder="1" applyAlignment="1">
      <alignment horizontal="center" vertical="center"/>
    </xf>
    <xf numFmtId="4" fontId="4" fillId="0" borderId="1" xfId="37" applyNumberFormat="1" applyFont="1" applyFill="1" applyBorder="1" applyAlignment="1">
      <alignment horizontal="center" vertical="center"/>
    </xf>
    <xf numFmtId="4" fontId="4" fillId="0" borderId="1" xfId="31" applyNumberFormat="1" applyFont="1" applyFill="1" applyBorder="1" applyAlignment="1">
      <alignment horizontal="center" vertical="center"/>
    </xf>
    <xf numFmtId="4" fontId="4" fillId="0" borderId="1" xfId="31" applyNumberFormat="1" applyFont="1" applyFill="1" applyBorder="1" applyAlignment="1">
      <alignment horizontal="center" vertical="center" wrapText="1"/>
    </xf>
    <xf numFmtId="4" fontId="4" fillId="0" borderId="1" xfId="37" applyNumberFormat="1" applyFont="1" applyFill="1" applyBorder="1" applyAlignment="1">
      <alignment horizontal="center" vertical="center" wrapText="1"/>
    </xf>
    <xf numFmtId="0" fontId="4" fillId="0" borderId="1" xfId="38" applyFont="1" applyBorder="1" applyAlignment="1">
      <alignment horizontal="center" vertical="center"/>
    </xf>
    <xf numFmtId="0" fontId="2" fillId="0" borderId="1" xfId="39" applyFont="1" applyBorder="1" applyAlignment="1">
      <alignment horizontal="left" vertical="center"/>
    </xf>
    <xf numFmtId="0" fontId="4" fillId="0" borderId="1" xfId="40" applyFont="1" applyBorder="1" applyAlignment="1">
      <alignment horizontal="center" vertical="center"/>
    </xf>
    <xf numFmtId="2" fontId="4" fillId="0" borderId="1" xfId="40" applyNumberFormat="1" applyFont="1" applyFill="1" applyBorder="1" applyAlignment="1">
      <alignment horizontal="center" vertical="center"/>
    </xf>
    <xf numFmtId="4" fontId="4" fillId="0" borderId="1" xfId="40" applyNumberFormat="1" applyFont="1" applyFill="1" applyBorder="1" applyAlignment="1">
      <alignment horizontal="center" vertical="center"/>
    </xf>
    <xf numFmtId="4" fontId="4" fillId="0" borderId="1" xfId="41" applyNumberFormat="1" applyFont="1" applyFill="1" applyBorder="1" applyAlignment="1">
      <alignment horizontal="center" vertical="center" wrapText="1"/>
    </xf>
    <xf numFmtId="4" fontId="25" fillId="0" borderId="1" xfId="41" applyNumberFormat="1" applyFont="1" applyFill="1" applyBorder="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right" vertical="center" wrapText="1"/>
    </xf>
    <xf numFmtId="2" fontId="42" fillId="0" borderId="0" xfId="0" applyNumberFormat="1" applyFont="1" applyAlignment="1">
      <alignment horizontal="center" vertical="center" wrapText="1"/>
    </xf>
    <xf numFmtId="2" fontId="42" fillId="0" borderId="0" xfId="42" applyNumberFormat="1" applyFont="1" applyAlignment="1">
      <alignment horizontal="right" vertical="center" wrapText="1"/>
    </xf>
    <xf numFmtId="0" fontId="52" fillId="0" borderId="0" xfId="0" applyFont="1" applyAlignment="1" applyProtection="1">
      <alignment vertical="center"/>
      <protection locked="0"/>
    </xf>
    <xf numFmtId="0" fontId="55" fillId="0" borderId="0" xfId="0" applyFont="1" applyBorder="1" applyAlignment="1" applyProtection="1">
      <alignment horizontal="left" vertical="center" wrapText="1"/>
      <protection locked="0"/>
    </xf>
    <xf numFmtId="0" fontId="44" fillId="0" borderId="0" xfId="34" applyNumberFormat="1" applyFont="1" applyFill="1" applyBorder="1" applyAlignment="1" applyProtection="1">
      <alignment horizontal="left" vertical="center"/>
    </xf>
    <xf numFmtId="0" fontId="44" fillId="0" borderId="0" xfId="34" applyNumberFormat="1" applyFont="1" applyFill="1" applyBorder="1" applyAlignment="1" applyProtection="1">
      <alignment vertical="center"/>
    </xf>
    <xf numFmtId="0" fontId="44" fillId="0" borderId="0" xfId="34" applyNumberFormat="1" applyFont="1" applyFill="1" applyBorder="1" applyAlignment="1" applyProtection="1">
      <alignment horizontal="right" vertical="center"/>
    </xf>
    <xf numFmtId="168" fontId="44" fillId="0" borderId="0" xfId="43" applyNumberFormat="1" applyFont="1" applyBorder="1" applyAlignment="1">
      <alignment horizontal="center" vertical="center"/>
    </xf>
    <xf numFmtId="0" fontId="56" fillId="0" borderId="0" xfId="34" applyNumberFormat="1" applyFont="1" applyFill="1" applyBorder="1" applyAlignment="1" applyProtection="1">
      <alignment horizontal="center" vertical="center"/>
    </xf>
    <xf numFmtId="0" fontId="6" fillId="0" borderId="1" xfId="0" applyFont="1" applyBorder="1" applyAlignment="1">
      <alignment horizontal="center" vertical="center" textRotation="90"/>
    </xf>
    <xf numFmtId="0" fontId="3" fillId="0" borderId="1" xfId="0" applyFont="1" applyBorder="1" applyAlignment="1">
      <alignment vertical="center"/>
    </xf>
    <xf numFmtId="0" fontId="35" fillId="0" borderId="1" xfId="29" applyFont="1" applyFill="1" applyBorder="1" applyAlignment="1">
      <alignment vertical="center" wrapText="1"/>
    </xf>
    <xf numFmtId="4" fontId="3" fillId="0" borderId="0" xfId="0" applyNumberFormat="1" applyFont="1" applyAlignment="1">
      <alignment vertical="center"/>
    </xf>
    <xf numFmtId="2" fontId="3" fillId="0" borderId="1" xfId="0" applyNumberFormat="1" applyFont="1" applyFill="1" applyBorder="1" applyAlignment="1">
      <alignment horizontal="center" vertical="center" wrapText="1"/>
    </xf>
    <xf numFmtId="39" fontId="0"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 fontId="18" fillId="0" borderId="1" xfId="44" applyNumberFormat="1" applyFont="1" applyFill="1" applyBorder="1" applyAlignment="1">
      <alignment horizontal="center" vertical="center"/>
    </xf>
    <xf numFmtId="0" fontId="2" fillId="0" borderId="1"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1" xfId="22" applyFont="1" applyBorder="1" applyAlignment="1">
      <alignment vertical="center"/>
    </xf>
    <xf numFmtId="0" fontId="6" fillId="0" borderId="1" xfId="22" applyFont="1" applyBorder="1" applyAlignment="1">
      <alignment horizontal="center" vertical="center" textRotation="90"/>
    </xf>
    <xf numFmtId="0" fontId="4" fillId="0" borderId="1" xfId="22" applyBorder="1" applyAlignment="1">
      <alignment vertical="center"/>
    </xf>
    <xf numFmtId="0" fontId="4" fillId="0" borderId="1" xfId="22" applyBorder="1" applyAlignment="1">
      <alignment horizontal="left" vertical="center" wrapText="1"/>
    </xf>
    <xf numFmtId="0" fontId="4" fillId="0" borderId="1" xfId="22" applyBorder="1" applyAlignment="1">
      <alignment horizontal="center" vertical="center"/>
    </xf>
    <xf numFmtId="2" fontId="3" fillId="0" borderId="1" xfId="27" applyNumberFormat="1" applyFont="1" applyBorder="1" applyAlignment="1">
      <alignment horizontal="center" vertical="center"/>
    </xf>
    <xf numFmtId="2" fontId="3" fillId="0" borderId="1" xfId="25" applyNumberFormat="1" applyFont="1" applyBorder="1" applyAlignment="1">
      <alignment horizontal="center" vertical="center"/>
    </xf>
    <xf numFmtId="0" fontId="3" fillId="0" borderId="1" xfId="17" applyFont="1" applyBorder="1" applyAlignment="1">
      <alignment horizontal="left" vertical="center" wrapText="1"/>
    </xf>
    <xf numFmtId="0" fontId="4" fillId="0" borderId="1" xfId="26" applyFont="1" applyBorder="1" applyAlignment="1">
      <alignment horizontal="center" vertical="center"/>
    </xf>
    <xf numFmtId="4" fontId="3" fillId="0" borderId="1" xfId="25" applyNumberFormat="1" applyFont="1" applyBorder="1" applyAlignment="1">
      <alignment horizontal="center" vertical="center"/>
    </xf>
    <xf numFmtId="0" fontId="4" fillId="0" borderId="1" xfId="21" applyFont="1" applyBorder="1" applyAlignment="1">
      <alignment horizontal="left" vertical="center" wrapText="1"/>
    </xf>
    <xf numFmtId="0" fontId="4" fillId="0" borderId="1" xfId="2" applyBorder="1" applyAlignment="1">
      <alignment horizontal="center" vertical="center" wrapText="1"/>
    </xf>
    <xf numFmtId="2" fontId="4" fillId="0" borderId="1" xfId="19" applyNumberFormat="1" applyFont="1" applyBorder="1" applyAlignment="1">
      <alignment horizontal="center" vertical="center"/>
    </xf>
    <xf numFmtId="2" fontId="4" fillId="0" borderId="1" xfId="22" applyNumberFormat="1" applyBorder="1" applyAlignment="1">
      <alignment horizontal="center" vertical="center"/>
    </xf>
    <xf numFmtId="49" fontId="3" fillId="0" borderId="1" xfId="0" applyNumberFormat="1" applyFont="1" applyBorder="1" applyAlignment="1">
      <alignment horizontal="center" vertical="center"/>
    </xf>
    <xf numFmtId="49" fontId="2" fillId="0" borderId="13" xfId="2" applyNumberFormat="1" applyFont="1" applyBorder="1" applyAlignment="1">
      <alignment horizontal="center" vertical="center" wrapText="1"/>
    </xf>
    <xf numFmtId="0" fontId="2" fillId="0" borderId="12" xfId="21" applyFont="1" applyBorder="1" applyAlignment="1">
      <alignment horizontal="center" vertical="center" wrapText="1"/>
    </xf>
    <xf numFmtId="0" fontId="33" fillId="0" borderId="13" xfId="21" applyFont="1" applyBorder="1" applyAlignment="1">
      <alignment horizontal="left" vertical="center" wrapText="1"/>
    </xf>
    <xf numFmtId="0" fontId="33" fillId="0" borderId="3"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1" xfId="22" applyNumberFormat="1" applyFont="1" applyBorder="1" applyAlignment="1">
      <alignment horizontal="center" vertical="center"/>
    </xf>
    <xf numFmtId="49" fontId="32" fillId="0" borderId="1" xfId="22" applyNumberFormat="1" applyFont="1" applyBorder="1" applyAlignment="1">
      <alignment horizontal="center" vertical="center"/>
    </xf>
    <xf numFmtId="49" fontId="4" fillId="0" borderId="1" xfId="27" applyNumberFormat="1" applyFont="1" applyBorder="1" applyAlignment="1">
      <alignment horizontal="left" vertical="center" wrapText="1"/>
    </xf>
    <xf numFmtId="0" fontId="3" fillId="0" borderId="1" xfId="22" applyFont="1" applyBorder="1" applyAlignment="1">
      <alignment horizontal="center" vertical="center" wrapText="1"/>
    </xf>
    <xf numFmtId="49" fontId="2" fillId="0" borderId="1" xfId="22" applyNumberFormat="1" applyFont="1" applyBorder="1" applyAlignment="1">
      <alignment horizontal="center" vertical="center"/>
    </xf>
    <xf numFmtId="0" fontId="2" fillId="0" borderId="1" xfId="22" applyFont="1" applyBorder="1" applyAlignment="1">
      <alignment horizontal="center" vertical="center" wrapText="1"/>
    </xf>
    <xf numFmtId="0" fontId="6" fillId="0" borderId="1" xfId="22" applyFont="1" applyBorder="1" applyAlignment="1">
      <alignment horizontal="center" vertical="center" wrapText="1"/>
    </xf>
    <xf numFmtId="49" fontId="4" fillId="0" borderId="1" xfId="22" applyNumberFormat="1" applyBorder="1" applyAlignment="1">
      <alignment horizontal="center" vertical="center"/>
    </xf>
    <xf numFmtId="0" fontId="4" fillId="0" borderId="1" xfId="22" applyBorder="1" applyAlignment="1">
      <alignment vertical="center" wrapText="1"/>
    </xf>
    <xf numFmtId="49" fontId="28" fillId="0" borderId="1" xfId="0" applyNumberFormat="1" applyFont="1" applyBorder="1" applyAlignment="1">
      <alignment vertical="center"/>
    </xf>
    <xf numFmtId="0" fontId="27" fillId="0" borderId="1" xfId="0" applyFont="1" applyBorder="1" applyAlignment="1">
      <alignment horizontal="center" vertical="center"/>
    </xf>
    <xf numFmtId="168" fontId="27" fillId="0" borderId="1" xfId="0" applyNumberFormat="1" applyFont="1" applyBorder="1" applyAlignment="1">
      <alignment horizontal="center" vertical="center"/>
    </xf>
    <xf numFmtId="2"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shrinkToFit="1"/>
    </xf>
    <xf numFmtId="39" fontId="4" fillId="0" borderId="1" xfId="0" applyNumberFormat="1" applyFont="1" applyFill="1" applyBorder="1" applyAlignment="1">
      <alignment horizontal="center" vertical="center"/>
    </xf>
    <xf numFmtId="39" fontId="4" fillId="0" borderId="1" xfId="0" applyNumberFormat="1" applyFont="1" applyFill="1" applyBorder="1" applyAlignment="1">
      <alignment horizontal="center" vertical="center" wrapText="1"/>
    </xf>
    <xf numFmtId="0" fontId="44" fillId="0" borderId="7" xfId="35" applyFont="1" applyFill="1" applyBorder="1" applyAlignment="1">
      <alignment horizontal="center" vertical="center" wrapText="1"/>
    </xf>
    <xf numFmtId="0" fontId="42" fillId="0" borderId="0" xfId="35"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5" fillId="0" borderId="0" xfId="29" applyFont="1" applyAlignment="1">
      <alignment horizontal="left" vertical="center" wrapText="1"/>
    </xf>
    <xf numFmtId="171" fontId="35" fillId="0" borderId="2" xfId="30" applyFont="1" applyFill="1" applyBorder="1" applyAlignment="1">
      <alignment horizontal="center" vertical="center" wrapText="1"/>
    </xf>
    <xf numFmtId="171" fontId="35" fillId="0" borderId="5" xfId="30" applyFont="1" applyFill="1" applyBorder="1" applyAlignment="1">
      <alignment horizontal="center" vertical="center" wrapText="1"/>
    </xf>
    <xf numFmtId="0" fontId="35" fillId="0" borderId="2" xfId="28" applyFont="1" applyFill="1" applyBorder="1" applyAlignment="1">
      <alignment horizontal="left" vertical="center" wrapText="1"/>
    </xf>
    <xf numFmtId="0" fontId="35" fillId="0" borderId="5" xfId="28" applyFont="1" applyFill="1" applyBorder="1" applyAlignment="1">
      <alignment horizontal="left" vertical="center" wrapText="1"/>
    </xf>
    <xf numFmtId="0" fontId="37" fillId="0" borderId="2" xfId="28" applyFont="1" applyFill="1" applyBorder="1" applyAlignment="1">
      <alignment horizontal="right" vertical="center" wrapText="1"/>
    </xf>
    <xf numFmtId="0" fontId="37" fillId="0" borderId="6" xfId="28" applyFont="1" applyFill="1" applyBorder="1" applyAlignment="1">
      <alignment horizontal="right" vertical="center" wrapText="1"/>
    </xf>
    <xf numFmtId="0" fontId="35" fillId="0" borderId="2" xfId="28" applyFont="1" applyFill="1" applyBorder="1" applyAlignment="1">
      <alignment horizontal="right" vertical="center" wrapText="1"/>
    </xf>
    <xf numFmtId="0" fontId="35" fillId="0" borderId="6" xfId="28" applyFont="1" applyFill="1" applyBorder="1" applyAlignment="1">
      <alignment horizontal="right" vertical="center" wrapText="1"/>
    </xf>
    <xf numFmtId="0" fontId="35" fillId="0" borderId="1" xfId="29" applyFont="1" applyFill="1" applyBorder="1" applyAlignment="1">
      <alignment horizontal="center" vertical="center" wrapText="1"/>
    </xf>
    <xf numFmtId="0" fontId="35" fillId="0" borderId="1" xfId="29" applyFont="1" applyFill="1" applyBorder="1" applyAlignment="1">
      <alignment vertical="center" wrapText="1"/>
    </xf>
    <xf numFmtId="2" fontId="37" fillId="0" borderId="2" xfId="29" applyNumberFormat="1" applyFont="1" applyFill="1" applyBorder="1" applyAlignment="1">
      <alignment horizontal="right" vertical="center"/>
    </xf>
    <xf numFmtId="2" fontId="37" fillId="0" borderId="6" xfId="29" applyNumberFormat="1" applyFont="1" applyFill="1" applyBorder="1" applyAlignment="1">
      <alignment horizontal="right" vertical="center"/>
    </xf>
    <xf numFmtId="2" fontId="37" fillId="0" borderId="5" xfId="29" applyNumberFormat="1" applyFont="1" applyFill="1" applyBorder="1" applyAlignment="1">
      <alignment horizontal="right" vertical="center"/>
    </xf>
    <xf numFmtId="0" fontId="37" fillId="0" borderId="2" xfId="29" applyFont="1" applyFill="1" applyBorder="1" applyAlignment="1">
      <alignment horizontal="right" vertical="center"/>
    </xf>
    <xf numFmtId="0" fontId="37" fillId="0" borderId="5" xfId="29" applyFont="1" applyFill="1" applyBorder="1" applyAlignment="1">
      <alignment horizontal="right" vertical="center"/>
    </xf>
    <xf numFmtId="0" fontId="35" fillId="0" borderId="3" xfId="29" applyFont="1" applyFill="1" applyBorder="1" applyAlignment="1">
      <alignment horizontal="center" vertical="center"/>
    </xf>
    <xf numFmtId="0" fontId="35" fillId="0" borderId="4" xfId="29" applyFont="1" applyFill="1" applyBorder="1" applyAlignment="1">
      <alignment horizontal="center" vertical="center"/>
    </xf>
    <xf numFmtId="0" fontId="35" fillId="0" borderId="3" xfId="29" applyFont="1" applyFill="1" applyBorder="1" applyAlignment="1">
      <alignment horizontal="center" vertical="center" wrapText="1"/>
    </xf>
    <xf numFmtId="0" fontId="35" fillId="0" borderId="4" xfId="29" applyFont="1" applyFill="1" applyBorder="1" applyAlignment="1">
      <alignment horizontal="center" vertical="center" wrapText="1"/>
    </xf>
    <xf numFmtId="0" fontId="35" fillId="0" borderId="8" xfId="29" applyFont="1" applyFill="1" applyBorder="1" applyAlignment="1">
      <alignment horizontal="center" vertical="center" wrapText="1"/>
    </xf>
    <xf numFmtId="0" fontId="35" fillId="0" borderId="9" xfId="29" applyFont="1" applyFill="1" applyBorder="1" applyAlignment="1">
      <alignment horizontal="center" vertical="center" wrapText="1"/>
    </xf>
    <xf numFmtId="0" fontId="35" fillId="0" borderId="10" xfId="29" applyFont="1" applyFill="1" applyBorder="1" applyAlignment="1">
      <alignment horizontal="center" vertical="center" wrapText="1"/>
    </xf>
    <xf numFmtId="0" fontId="35" fillId="0" borderId="11" xfId="29" applyFont="1" applyFill="1" applyBorder="1" applyAlignment="1">
      <alignment horizontal="center" vertical="center" wrapText="1"/>
    </xf>
    <xf numFmtId="0" fontId="35" fillId="0" borderId="1" xfId="29" applyFont="1" applyFill="1" applyBorder="1" applyAlignment="1">
      <alignment horizontal="center" vertical="center"/>
    </xf>
    <xf numFmtId="0" fontId="47" fillId="0" borderId="0" xfId="29" applyFont="1" applyAlignment="1">
      <alignment horizontal="center" vertical="center"/>
    </xf>
    <xf numFmtId="0" fontId="35" fillId="0" borderId="0" xfId="29" applyFont="1" applyAlignment="1">
      <alignment horizontal="right" vertical="center"/>
    </xf>
    <xf numFmtId="0" fontId="35" fillId="0" borderId="7" xfId="29" applyFont="1" applyBorder="1" applyAlignment="1">
      <alignment horizontal="right" vertical="center"/>
    </xf>
    <xf numFmtId="0" fontId="4" fillId="0" borderId="1" xfId="0" applyFont="1" applyFill="1" applyBorder="1" applyAlignment="1">
      <alignment horizontal="center" vertical="center"/>
    </xf>
    <xf numFmtId="0" fontId="56" fillId="0" borderId="0" xfId="34" applyNumberFormat="1" applyFont="1" applyFill="1" applyBorder="1" applyAlignment="1" applyProtection="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Border="1" applyAlignment="1">
      <alignment horizontal="center" vertical="center"/>
    </xf>
  </cellXfs>
  <cellStyles count="45">
    <cellStyle name="Atdalītāji_Xl0000018" xfId="37" xr:uid="{00000000-0005-0000-0000-000000000000}"/>
    <cellStyle name="Comma 2" xfId="12" xr:uid="{00000000-0005-0000-0000-000001000000}"/>
    <cellStyle name="Comma 2 2" xfId="13" xr:uid="{00000000-0005-0000-0000-000002000000}"/>
    <cellStyle name="Comma 2 2 2" xfId="24" xr:uid="{00000000-0005-0000-0000-000003000000}"/>
    <cellStyle name="Comma 2 3" xfId="23" xr:uid="{00000000-0005-0000-0000-000004000000}"/>
    <cellStyle name="Comma 3" xfId="31" xr:uid="{00000000-0005-0000-0000-000005000000}"/>
    <cellStyle name="Comma 5" xfId="7" xr:uid="{00000000-0005-0000-0000-000006000000}"/>
    <cellStyle name="Comma 5 2" xfId="25" xr:uid="{00000000-0005-0000-0000-000007000000}"/>
    <cellStyle name="Excel Built-in Good" xfId="16" xr:uid="{00000000-0005-0000-0000-000008000000}"/>
    <cellStyle name="Excel Built-in Normal" xfId="8" xr:uid="{00000000-0005-0000-0000-000009000000}"/>
    <cellStyle name="Excel Built-in Normal 1" xfId="10" xr:uid="{00000000-0005-0000-0000-00000A000000}"/>
    <cellStyle name="Excel Built-in Normal 1 2" xfId="34" xr:uid="{00000000-0005-0000-0000-00000B000000}"/>
    <cellStyle name="Normal" xfId="0" builtinId="0"/>
    <cellStyle name="Normal 2" xfId="1" xr:uid="{00000000-0005-0000-0000-00000D000000}"/>
    <cellStyle name="Normal 2 2 2" xfId="9" xr:uid="{00000000-0005-0000-0000-00000E000000}"/>
    <cellStyle name="Normal 3" xfId="11" xr:uid="{00000000-0005-0000-0000-00000F000000}"/>
    <cellStyle name="Normal 3 2" xfId="35" xr:uid="{00000000-0005-0000-0000-000010000000}"/>
    <cellStyle name="Normal 4" xfId="15" xr:uid="{00000000-0005-0000-0000-000011000000}"/>
    <cellStyle name="Normal 5" xfId="29" xr:uid="{00000000-0005-0000-0000-000012000000}"/>
    <cellStyle name="Normal 6" xfId="14" xr:uid="{00000000-0005-0000-0000-000013000000}"/>
    <cellStyle name="Normal 9" xfId="2" xr:uid="{00000000-0005-0000-0000-000014000000}"/>
    <cellStyle name="Normal_501-06tames forma" xfId="44" xr:uid="{00000000-0005-0000-0000-000015000000}"/>
    <cellStyle name="Normal_AET DPETR 13 obj julijs ligums 39" xfId="19" xr:uid="{00000000-0005-0000-0000-000016000000}"/>
    <cellStyle name="Normal_Book1" xfId="21" xr:uid="{00000000-0005-0000-0000-000017000000}"/>
    <cellStyle name="Normal_Marupe bernudarzs koptame_19 virtuves KOPTAME" xfId="20" xr:uid="{00000000-0005-0000-0000-000018000000}"/>
    <cellStyle name="Normal_Sheet2" xfId="17" xr:uid="{00000000-0005-0000-0000-000019000000}"/>
    <cellStyle name="Normal_TAME-POLIPLASTS" xfId="33" xr:uid="{00000000-0005-0000-0000-00001C000000}"/>
    <cellStyle name="Normal_TameTuristu5-2011-08-06" xfId="43" xr:uid="{00000000-0005-0000-0000-00001D000000}"/>
    <cellStyle name="Normal_Tāme" xfId="3" xr:uid="{00000000-0005-0000-0000-00001A000000}"/>
    <cellStyle name="Normal_Tāme 2" xfId="26" xr:uid="{00000000-0005-0000-0000-00001B000000}"/>
    <cellStyle name="Parastais 2" xfId="4" xr:uid="{00000000-0005-0000-0000-00001E000000}"/>
    <cellStyle name="Parastais 3" xfId="6" xr:uid="{00000000-0005-0000-0000-00001F000000}"/>
    <cellStyle name="Parastais_pielikums2" xfId="28" xr:uid="{00000000-0005-0000-0000-000020000000}"/>
    <cellStyle name="Parastais_Tame" xfId="40" xr:uid="{00000000-0005-0000-0000-000021000000}"/>
    <cellStyle name="Parastais_Tame_1_T_Dzelzava_KN" xfId="36" xr:uid="{00000000-0005-0000-0000-000022000000}"/>
    <cellStyle name="Parastais_Tame_Fasāde_Policija" xfId="39" xr:uid="{00000000-0005-0000-0000-000023000000}"/>
    <cellStyle name="Parastais_Xl0000018" xfId="38" xr:uid="{00000000-0005-0000-0000-000024000000}"/>
    <cellStyle name="Parasts 2" xfId="18" xr:uid="{00000000-0005-0000-0000-000025000000}"/>
    <cellStyle name="Parasts 3" xfId="22" xr:uid="{00000000-0005-0000-0000-000026000000}"/>
    <cellStyle name="Percent 2" xfId="32" xr:uid="{00000000-0005-0000-0000-000027000000}"/>
    <cellStyle name="Stils 1" xfId="41" xr:uid="{00000000-0005-0000-0000-000028000000}"/>
    <cellStyle name="Style 1" xfId="5" xr:uid="{00000000-0005-0000-0000-000029000000}"/>
    <cellStyle name="Style 1 2" xfId="27" xr:uid="{00000000-0005-0000-0000-00002A000000}"/>
    <cellStyle name="Valūta_pielikums2" xfId="30" xr:uid="{00000000-0005-0000-0000-00002B000000}"/>
    <cellStyle name="Стиль 1" xfId="42" xr:uid="{00000000-0005-0000-0000-00002C000000}"/>
  </cellStyles>
  <dxfs count="4">
    <dxf>
      <font>
        <b val="0"/>
        <i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11.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 Id="rId9" Type="http://schemas.openxmlformats.org/officeDocument/2006/relationships/hyperlink" Target="https://lv.sportsdirect.com/firetrap-canvas-cap-mens-391956?colcode=39195609"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lv.sportsdirect.com/pierre-cardin-check-polo-shirt-mens-549256?colcode=54925603" TargetMode="External"/><Relationship Id="rId3" Type="http://schemas.openxmlformats.org/officeDocument/2006/relationships/hyperlink" Target="https://lv.sportsdirect.com/soviet-city-stripe-shorts-430245?colcode=43024550" TargetMode="External"/><Relationship Id="rId7" Type="http://schemas.openxmlformats.org/officeDocument/2006/relationships/hyperlink" Target="https://lv.sportsdirect.com/donnay-polo-shirt-mens-549175?colcode=54917526" TargetMode="External"/><Relationship Id="rId2" Type="http://schemas.openxmlformats.org/officeDocument/2006/relationships/hyperlink" Target="https://lv.sportsdirect.com/pierre-cardin-check-shorts-mens-479194?colcode=47919402" TargetMode="External"/><Relationship Id="rId1" Type="http://schemas.openxmlformats.org/officeDocument/2006/relationships/hyperlink" Target="https://lv.sportsdirect.com/lee-cooper-baseball-cap-mens-399006?colcode=39900626" TargetMode="External"/><Relationship Id="rId6" Type="http://schemas.openxmlformats.org/officeDocument/2006/relationships/hyperlink" Target="https://lv.sportsdirect.com/dunlop-mens-canvas-low-top-trainers-246046?colcode=24604609" TargetMode="External"/><Relationship Id="rId5" Type="http://schemas.openxmlformats.org/officeDocument/2006/relationships/hyperlink" Target="https://lv.sportsdirect.com/hot-tuna-splasher-shoes-mens-222057?colcode=22205722" TargetMode="External"/><Relationship Id="rId4" Type="http://schemas.openxmlformats.org/officeDocument/2006/relationships/hyperlink" Target="https://lv.sportsdirect.com/no-fear-double-waist-denim-shorts-mens-645174?colcode=64517490" TargetMode="Externa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438900" y="0"/>
          <a:ext cx="0" cy="0"/>
        </a:xfrm>
        <a:prstGeom prst="rect">
          <a:avLst/>
        </a:prstGeom>
        <a:noFill/>
        <a:ln w="9525">
          <a:solidFill>
            <a:srgbClr val="000000"/>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438900" y="0"/>
          <a:ext cx="0" cy="0"/>
        </a:xfrm>
        <a:prstGeom prst="rect">
          <a:avLst/>
        </a:prstGeom>
        <a:noFill/>
        <a:ln w="9525">
          <a:solidFill>
            <a:srgbClr val="000000"/>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6438900" y="0"/>
          <a:ext cx="0" cy="0"/>
        </a:xfrm>
        <a:prstGeom prst="rect">
          <a:avLst/>
        </a:prstGeom>
        <a:noFill/>
        <a:ln w="9525">
          <a:solidFill>
            <a:srgbClr val="000000"/>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79022</xdr:colOff>
      <xdr:row>18</xdr:row>
      <xdr:rowOff>41360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4861560" y="3962400"/>
          <a:ext cx="79022" cy="20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3</xdr:col>
      <xdr:colOff>0</xdr:colOff>
      <xdr:row>17</xdr:row>
      <xdr:rowOff>0</xdr:rowOff>
    </xdr:from>
    <xdr:to>
      <xdr:col>3</xdr:col>
      <xdr:colOff>79022</xdr:colOff>
      <xdr:row>18</xdr:row>
      <xdr:rowOff>41360</xdr:rowOff>
    </xdr:to>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4861560" y="3962400"/>
          <a:ext cx="79022" cy="20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3</xdr:col>
      <xdr:colOff>0</xdr:colOff>
      <xdr:row>17</xdr:row>
      <xdr:rowOff>0</xdr:rowOff>
    </xdr:from>
    <xdr:to>
      <xdr:col>3</xdr:col>
      <xdr:colOff>79022</xdr:colOff>
      <xdr:row>18</xdr:row>
      <xdr:rowOff>41360</xdr:rowOff>
    </xdr:to>
    <xdr:sp macro="" textlink="">
      <xdr:nvSpPr>
        <xdr:cNvPr id="7" name="Text Box 4">
          <a:extLst>
            <a:ext uri="{FF2B5EF4-FFF2-40B4-BE49-F238E27FC236}">
              <a16:creationId xmlns:a16="http://schemas.microsoft.com/office/drawing/2014/main" id="{00000000-0008-0000-0000-000007000000}"/>
            </a:ext>
          </a:extLst>
        </xdr:cNvPr>
        <xdr:cNvSpPr txBox="1">
          <a:spLocks noChangeArrowheads="1"/>
        </xdr:cNvSpPr>
      </xdr:nvSpPr>
      <xdr:spPr bwMode="auto">
        <a:xfrm>
          <a:off x="4861560" y="3962400"/>
          <a:ext cx="79022" cy="20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3</xdr:col>
      <xdr:colOff>0</xdr:colOff>
      <xdr:row>17</xdr:row>
      <xdr:rowOff>0</xdr:rowOff>
    </xdr:from>
    <xdr:to>
      <xdr:col>3</xdr:col>
      <xdr:colOff>79022</xdr:colOff>
      <xdr:row>18</xdr:row>
      <xdr:rowOff>41360</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4861560" y="3962400"/>
          <a:ext cx="79022" cy="20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A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A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A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A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A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A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A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A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B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B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B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B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B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B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B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B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B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B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B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2</xdr:row>
      <xdr:rowOff>9525</xdr:rowOff>
    </xdr:to>
    <xdr:sp macro="" textlink="">
      <xdr:nvSpPr>
        <xdr:cNvPr id="15"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16"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17"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18"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19"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0"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1"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2"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2</xdr:row>
      <xdr:rowOff>9525</xdr:rowOff>
    </xdr:to>
    <xdr:sp macro="" textlink="">
      <xdr:nvSpPr>
        <xdr:cNvPr id="23"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4"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5"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6"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2</xdr:col>
      <xdr:colOff>0</xdr:colOff>
      <xdr:row>0</xdr:row>
      <xdr:rowOff>0</xdr:rowOff>
    </xdr:from>
    <xdr:to>
      <xdr:col>2</xdr:col>
      <xdr:colOff>304800</xdr:colOff>
      <xdr:row>1</xdr:row>
      <xdr:rowOff>142875</xdr:rowOff>
    </xdr:to>
    <xdr:sp macro="" textlink="">
      <xdr:nvSpPr>
        <xdr:cNvPr id="27"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70</xdr:row>
      <xdr:rowOff>0</xdr:rowOff>
    </xdr:from>
    <xdr:to>
      <xdr:col>1</xdr:col>
      <xdr:colOff>276225</xdr:colOff>
      <xdr:row>71</xdr:row>
      <xdr:rowOff>732</xdr:rowOff>
    </xdr:to>
    <xdr:sp macro="" textlink="">
      <xdr:nvSpPr>
        <xdr:cNvPr id="15" name="dnn_ctr25248449_WishListView_WishListDetail_WishListContents_ctl12_ProductImage" descr="Image of product Firetrap Canvas Cap Mens">
          <a:hlinkClick xmlns:r="http://schemas.openxmlformats.org/officeDocument/2006/relationships" r:id="rId9"/>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2450" y="2828925"/>
          <a:ext cx="276225" cy="162657"/>
        </a:xfrm>
        <a:prstGeom prst="rect">
          <a:avLst/>
        </a:prstGeom>
        <a:noFill/>
      </xdr:spPr>
    </xdr:sp>
    <xdr:clientData/>
  </xdr:twoCellAnchor>
  <xdr:twoCellAnchor editAs="oneCell">
    <xdr:from>
      <xdr:col>1</xdr:col>
      <xdr:colOff>0</xdr:colOff>
      <xdr:row>70</xdr:row>
      <xdr:rowOff>0</xdr:rowOff>
    </xdr:from>
    <xdr:to>
      <xdr:col>1</xdr:col>
      <xdr:colOff>276225</xdr:colOff>
      <xdr:row>71</xdr:row>
      <xdr:rowOff>732</xdr:rowOff>
    </xdr:to>
    <xdr:sp macro="" textlink="">
      <xdr:nvSpPr>
        <xdr:cNvPr id="16" name="dnn_ctr25248449_WishListView_WishListDetail_WishListContents_ctl12_ProductImage" descr="Image of product Firetrap Canvas Cap Mens">
          <a:hlinkClick xmlns:r="http://schemas.openxmlformats.org/officeDocument/2006/relationships" r:id="rId9"/>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981075" y="3781425"/>
          <a:ext cx="276225" cy="162657"/>
        </a:xfrm>
        <a:prstGeom prst="rect">
          <a:avLst/>
        </a:prstGeom>
        <a:noFill/>
      </xdr:spPr>
    </xdr:sp>
    <xdr:clientData/>
  </xdr:twoCellAnchor>
  <xdr:twoCellAnchor editAs="oneCell">
    <xdr:from>
      <xdr:col>1</xdr:col>
      <xdr:colOff>0</xdr:colOff>
      <xdr:row>70</xdr:row>
      <xdr:rowOff>0</xdr:rowOff>
    </xdr:from>
    <xdr:to>
      <xdr:col>1</xdr:col>
      <xdr:colOff>276225</xdr:colOff>
      <xdr:row>71</xdr:row>
      <xdr:rowOff>732</xdr:rowOff>
    </xdr:to>
    <xdr:sp macro="" textlink="">
      <xdr:nvSpPr>
        <xdr:cNvPr id="17" name="dnn_ctr25248449_WishListView_WishListDetail_WishListContents_ctl12_ProductImage" descr="Image of product Firetrap Canvas Cap Mens">
          <a:hlinkClick xmlns:r="http://schemas.openxmlformats.org/officeDocument/2006/relationships" r:id="rId9"/>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981075" y="3781425"/>
          <a:ext cx="276225" cy="162657"/>
        </a:xfrm>
        <a:prstGeom prst="rect">
          <a:avLst/>
        </a:prstGeom>
        <a:noFill/>
      </xdr:spPr>
    </xdr:sp>
    <xdr:clientData/>
  </xdr:twoCellAnchor>
  <xdr:twoCellAnchor>
    <xdr:from>
      <xdr:col>1</xdr:col>
      <xdr:colOff>28575</xdr:colOff>
      <xdr:row>13</xdr:row>
      <xdr:rowOff>152400</xdr:rowOff>
    </xdr:from>
    <xdr:to>
      <xdr:col>1</xdr:col>
      <xdr:colOff>285750</xdr:colOff>
      <xdr:row>14</xdr:row>
      <xdr:rowOff>152400</xdr:rowOff>
    </xdr:to>
    <xdr:sp macro="" textlink="">
      <xdr:nvSpPr>
        <xdr:cNvPr id="18" name="dnn_ctr25248449_WishListView_WishListDetail_WishListContents_ctl12_ProductImage">
          <a:extLst>
            <a:ext uri="{FF2B5EF4-FFF2-40B4-BE49-F238E27FC236}">
              <a16:creationId xmlns:a16="http://schemas.microsoft.com/office/drawing/2014/main" id="{00000000-0008-0000-0300-000012000000}"/>
            </a:ext>
          </a:extLst>
        </xdr:cNvPr>
        <xdr:cNvSpPr>
          <a:spLocks noChangeArrowheads="1"/>
        </xdr:cNvSpPr>
      </xdr:nvSpPr>
      <xdr:spPr bwMode="auto">
        <a:xfrm>
          <a:off x="638175" y="2314575"/>
          <a:ext cx="2571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13</xdr:row>
      <xdr:rowOff>152400</xdr:rowOff>
    </xdr:from>
    <xdr:to>
      <xdr:col>1</xdr:col>
      <xdr:colOff>285750</xdr:colOff>
      <xdr:row>14</xdr:row>
      <xdr:rowOff>152400</xdr:rowOff>
    </xdr:to>
    <xdr:sp macro="" textlink="">
      <xdr:nvSpPr>
        <xdr:cNvPr id="19" name="dnn_ctr25248449_WishListView_WishListDetail_WishListContents_ctl12_ProductImage">
          <a:extLst>
            <a:ext uri="{FF2B5EF4-FFF2-40B4-BE49-F238E27FC236}">
              <a16:creationId xmlns:a16="http://schemas.microsoft.com/office/drawing/2014/main" id="{00000000-0008-0000-0300-000013000000}"/>
            </a:ext>
          </a:extLst>
        </xdr:cNvPr>
        <xdr:cNvSpPr>
          <a:spLocks noChangeArrowheads="1"/>
        </xdr:cNvSpPr>
      </xdr:nvSpPr>
      <xdr:spPr bwMode="auto">
        <a:xfrm>
          <a:off x="638175" y="2314575"/>
          <a:ext cx="2571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13</xdr:row>
      <xdr:rowOff>152400</xdr:rowOff>
    </xdr:from>
    <xdr:to>
      <xdr:col>1</xdr:col>
      <xdr:colOff>285750</xdr:colOff>
      <xdr:row>14</xdr:row>
      <xdr:rowOff>152400</xdr:rowOff>
    </xdr:to>
    <xdr:sp macro="" textlink="">
      <xdr:nvSpPr>
        <xdr:cNvPr id="20" name="dnn_ctr25248449_WishListView_WishListDetail_WishListContents_ctl12_ProductImage">
          <a:extLst>
            <a:ext uri="{FF2B5EF4-FFF2-40B4-BE49-F238E27FC236}">
              <a16:creationId xmlns:a16="http://schemas.microsoft.com/office/drawing/2014/main" id="{00000000-0008-0000-0300-000014000000}"/>
            </a:ext>
          </a:extLst>
        </xdr:cNvPr>
        <xdr:cNvSpPr>
          <a:spLocks noChangeArrowheads="1"/>
        </xdr:cNvSpPr>
      </xdr:nvSpPr>
      <xdr:spPr bwMode="auto">
        <a:xfrm>
          <a:off x="638175" y="2314575"/>
          <a:ext cx="2571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4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6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6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6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7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7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7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7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7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7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7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7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7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7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7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8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8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8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8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8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8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8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2</xdr:row>
      <xdr:rowOff>9525</xdr:rowOff>
    </xdr:to>
    <xdr:sp macro="" textlink="">
      <xdr:nvSpPr>
        <xdr:cNvPr id="2"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3"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4"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5"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6"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7" name="dnn_ctr25248449_WishListView_WishListDetail_WishListContents_ctl07_ProductImage" descr="Image of product Dunlop Mens Canvas Low Top Trainers">
          <a:hlinkClick xmlns:r="http://schemas.openxmlformats.org/officeDocument/2006/relationships" r:id="rId6"/>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8" name="dnn_ctr25248449_WishListView_WishListDetail_WishListContents_ctl08_ProductImage" descr="Image of product Donnay Polo Shirt Mens">
          <a:hlinkClick xmlns:r="http://schemas.openxmlformats.org/officeDocument/2006/relationships" r:id="rId7"/>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9" name="dnn_ctr25248449_WishListView_WishListDetail_WishListContents_ctl09_ProductImage" descr="Image of product Pierre Cardin Check Polo Shirt Mens ">
          <a:hlinkClick xmlns:r="http://schemas.openxmlformats.org/officeDocument/2006/relationships" r:id="rId8"/>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2</xdr:row>
      <xdr:rowOff>9525</xdr:rowOff>
    </xdr:to>
    <xdr:sp macro="" textlink="">
      <xdr:nvSpPr>
        <xdr:cNvPr id="10" name="dnn_ctr25248449_WishListView_WishListDetail_WishListContents_ctl02_ProductImage" descr="Image of product Lee Cooper Baseball Cap Mens">
          <a:hlinkClick xmlns:r="http://schemas.openxmlformats.org/officeDocument/2006/relationships" r:id="rId1"/>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609600" y="0"/>
          <a:ext cx="304800" cy="333375"/>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1" name="dnn_ctr25248449_WishListView_WishListDetail_WishListContents_ctl03_ProductImage" descr="Image of product Pierre Cardin Check Shorts Mens">
          <a:hlinkClick xmlns:r="http://schemas.openxmlformats.org/officeDocument/2006/relationships" r:id="rId2"/>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2" name="dnn_ctr25248449_WishListView_WishListDetail_WishListContents_ctl04_ProductImage" descr="Image of product Soviet City Stripe Shorts">
          <a:hlinkClick xmlns:r="http://schemas.openxmlformats.org/officeDocument/2006/relationships" r:id="rId3"/>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3" name="dnn_ctr25248449_WishListView_WishListDetail_WishListContents_ctl05_ProductImage" descr="Image of product No Fear Double Waist Denim Shorts Mens">
          <a:hlinkClick xmlns:r="http://schemas.openxmlformats.org/officeDocument/2006/relationships" r:id="rId4"/>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609600" y="0"/>
          <a:ext cx="304800" cy="304800"/>
        </a:xfrm>
        <a:prstGeom prst="rect">
          <a:avLst/>
        </a:prstGeom>
        <a:noFill/>
      </xdr:spPr>
    </xdr:sp>
    <xdr:clientData/>
  </xdr:twoCellAnchor>
  <xdr:twoCellAnchor editAs="oneCell">
    <xdr:from>
      <xdr:col>1</xdr:col>
      <xdr:colOff>0</xdr:colOff>
      <xdr:row>0</xdr:row>
      <xdr:rowOff>0</xdr:rowOff>
    </xdr:from>
    <xdr:to>
      <xdr:col>1</xdr:col>
      <xdr:colOff>304800</xdr:colOff>
      <xdr:row>1</xdr:row>
      <xdr:rowOff>142875</xdr:rowOff>
    </xdr:to>
    <xdr:sp macro="" textlink="">
      <xdr:nvSpPr>
        <xdr:cNvPr id="14" name="dnn_ctr25248449_WishListView_WishListDetail_WishListContents_ctl06_ProductImage" descr="Image of product Hot Tuna Splasher Shoes Mens">
          <a:hlinkClick xmlns:r="http://schemas.openxmlformats.org/officeDocument/2006/relationships" r:id="rId5"/>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609600" y="0"/>
          <a:ext cx="304800" cy="304800"/>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E36"/>
  <sheetViews>
    <sheetView showZeros="0" workbookViewId="0">
      <selection activeCell="E18" sqref="E18"/>
    </sheetView>
  </sheetViews>
  <sheetFormatPr defaultColWidth="9.140625" defaultRowHeight="12.75"/>
  <cols>
    <col min="1" max="1" width="4" style="47" customWidth="1"/>
    <col min="2" max="2" width="16" style="47" customWidth="1"/>
    <col min="3" max="3" width="50.85546875" style="47" customWidth="1"/>
    <col min="4" max="4" width="5.5703125" style="47" customWidth="1"/>
    <col min="5" max="5" width="17.42578125" style="47" customWidth="1"/>
    <col min="6" max="16384" width="9.140625" style="47"/>
  </cols>
  <sheetData>
    <row r="1" spans="1:5" ht="12.75" customHeight="1">
      <c r="C1" s="48"/>
      <c r="D1" s="48"/>
      <c r="E1" s="49"/>
    </row>
    <row r="2" spans="1:5" ht="24.95" customHeight="1">
      <c r="C2" s="50" t="s">
        <v>1063</v>
      </c>
      <c r="D2" s="50"/>
    </row>
    <row r="3" spans="1:5" ht="15">
      <c r="A3" s="51"/>
      <c r="B3" s="52"/>
      <c r="C3" s="53"/>
      <c r="D3" s="53"/>
      <c r="E3" s="54"/>
    </row>
    <row r="4" spans="1:5" ht="14.25">
      <c r="A4" s="51"/>
      <c r="B4" s="52"/>
      <c r="C4" s="52"/>
      <c r="D4" s="52"/>
      <c r="E4" s="52"/>
    </row>
    <row r="5" spans="1:5" s="52" customFormat="1" ht="13.9" customHeight="1">
      <c r="A5" s="281" t="s">
        <v>150</v>
      </c>
      <c r="B5" s="281"/>
      <c r="C5" s="281"/>
      <c r="D5" s="281"/>
      <c r="E5" s="281"/>
    </row>
    <row r="6" spans="1:5" s="52" customFormat="1" ht="13.9" customHeight="1">
      <c r="A6" s="281" t="s">
        <v>151</v>
      </c>
      <c r="B6" s="281"/>
      <c r="C6" s="281"/>
      <c r="D6" s="281"/>
      <c r="E6" s="281"/>
    </row>
    <row r="7" spans="1:5" s="52" customFormat="1" ht="13.9" customHeight="1">
      <c r="A7" s="282" t="s">
        <v>152</v>
      </c>
      <c r="B7" s="282"/>
      <c r="C7" s="282"/>
      <c r="D7" s="282"/>
      <c r="E7" s="282"/>
    </row>
    <row r="8" spans="1:5" s="52" customFormat="1" ht="14.25">
      <c r="A8" s="283"/>
      <c r="B8" s="283"/>
      <c r="C8" s="283"/>
      <c r="D8" s="283"/>
      <c r="E8" s="283"/>
    </row>
    <row r="9" spans="1:5" s="52" customFormat="1" ht="17.25" customHeight="1">
      <c r="A9" s="55" t="s">
        <v>1064</v>
      </c>
      <c r="C9" s="52" t="s">
        <v>1065</v>
      </c>
    </row>
    <row r="10" spans="1:5" s="52" customFormat="1" ht="14.25">
      <c r="E10" s="56"/>
    </row>
    <row r="11" spans="1:5" s="52" customFormat="1" ht="34.5" customHeight="1">
      <c r="B11" s="57" t="s">
        <v>1066</v>
      </c>
      <c r="C11" s="284" t="s">
        <v>1067</v>
      </c>
      <c r="D11" s="285"/>
      <c r="E11" s="57" t="s">
        <v>1068</v>
      </c>
    </row>
    <row r="12" spans="1:5" s="52" customFormat="1" ht="25.5" customHeight="1">
      <c r="B12" s="58" t="s">
        <v>1069</v>
      </c>
      <c r="C12" s="286" t="s">
        <v>1119</v>
      </c>
      <c r="D12" s="287"/>
      <c r="E12" s="59">
        <f>Kopsavilkums!E29</f>
        <v>181794.67</v>
      </c>
    </row>
    <row r="13" spans="1:5" s="52" customFormat="1" ht="25.5" customHeight="1">
      <c r="B13" s="288" t="s">
        <v>1070</v>
      </c>
      <c r="C13" s="289"/>
      <c r="D13" s="60"/>
      <c r="E13" s="61">
        <f>E12</f>
        <v>181794.67</v>
      </c>
    </row>
    <row r="14" spans="1:5" s="52" customFormat="1" ht="25.5" customHeight="1">
      <c r="B14" s="290" t="s">
        <v>1071</v>
      </c>
      <c r="C14" s="291"/>
      <c r="D14" s="62">
        <v>0.21</v>
      </c>
      <c r="E14" s="63">
        <f>ROUND(E13*21%,2)</f>
        <v>38176.879999999997</v>
      </c>
    </row>
    <row r="15" spans="1:5" s="52" customFormat="1" ht="25.5" customHeight="1">
      <c r="B15" s="288" t="s">
        <v>1072</v>
      </c>
      <c r="C15" s="289"/>
      <c r="D15" s="60"/>
      <c r="E15" s="61">
        <f>SUM(E13:E14)</f>
        <v>219971.55</v>
      </c>
    </row>
    <row r="16" spans="1:5">
      <c r="B16" s="64"/>
      <c r="C16" s="65"/>
      <c r="D16" s="64"/>
    </row>
    <row r="17" spans="2:5">
      <c r="B17" s="64"/>
      <c r="C17" s="65"/>
      <c r="D17" s="64"/>
    </row>
    <row r="18" spans="2:5">
      <c r="B18" s="66"/>
      <c r="C18" s="67"/>
      <c r="D18" s="68"/>
    </row>
    <row r="19" spans="2:5">
      <c r="B19" s="69"/>
      <c r="C19" s="70" t="s">
        <v>1073</v>
      </c>
      <c r="D19" s="71"/>
      <c r="E19" s="72"/>
    </row>
    <row r="20" spans="2:5">
      <c r="B20" s="73"/>
      <c r="C20" s="74" t="s">
        <v>1074</v>
      </c>
      <c r="D20" s="74"/>
      <c r="E20" s="75"/>
    </row>
    <row r="21" spans="2:5">
      <c r="B21" s="73"/>
      <c r="C21" s="76" t="s">
        <v>1075</v>
      </c>
      <c r="D21" s="77"/>
    </row>
    <row r="22" spans="2:5" ht="15">
      <c r="B22" s="73"/>
      <c r="C22" s="78"/>
      <c r="D22" s="71"/>
    </row>
    <row r="23" spans="2:5">
      <c r="B23" s="79"/>
      <c r="C23" s="70" t="s">
        <v>1076</v>
      </c>
      <c r="D23" s="71"/>
    </row>
    <row r="24" spans="2:5">
      <c r="B24" s="69"/>
      <c r="C24" s="74" t="s">
        <v>1077</v>
      </c>
      <c r="D24" s="74"/>
      <c r="E24" s="75"/>
    </row>
    <row r="25" spans="2:5" ht="15">
      <c r="B25" s="78"/>
      <c r="C25" s="76" t="s">
        <v>1078</v>
      </c>
      <c r="D25" s="80"/>
      <c r="E25" s="75"/>
    </row>
    <row r="26" spans="2:5" ht="15">
      <c r="B26" s="78"/>
      <c r="C26" s="78"/>
      <c r="D26" s="78"/>
    </row>
    <row r="27" spans="2:5" ht="13.15" customHeight="1">
      <c r="B27" s="279" t="s">
        <v>1079</v>
      </c>
      <c r="C27" s="279"/>
      <c r="D27" s="279"/>
      <c r="E27" s="279"/>
    </row>
    <row r="28" spans="2:5" ht="13.15" customHeight="1">
      <c r="B28" s="280" t="s">
        <v>1080</v>
      </c>
      <c r="C28" s="280"/>
      <c r="D28" s="280"/>
      <c r="E28" s="280"/>
    </row>
    <row r="29" spans="2:5">
      <c r="B29" s="81"/>
      <c r="C29" s="81"/>
      <c r="D29" s="81"/>
    </row>
    <row r="30" spans="2:5">
      <c r="B30" s="81"/>
      <c r="C30" s="81"/>
      <c r="D30" s="81"/>
    </row>
    <row r="31" spans="2:5">
      <c r="B31" s="81"/>
      <c r="C31" s="82" t="s">
        <v>1120</v>
      </c>
      <c r="D31" s="81"/>
    </row>
    <row r="32" spans="2:5">
      <c r="B32" s="83"/>
      <c r="C32" s="66"/>
      <c r="D32" s="68"/>
    </row>
    <row r="33" spans="2:4">
      <c r="B33" s="83"/>
      <c r="C33" s="66"/>
      <c r="D33" s="68"/>
    </row>
    <row r="36" spans="2:4">
      <c r="B36" s="84"/>
      <c r="C36" s="84"/>
      <c r="D36" s="84"/>
    </row>
  </sheetData>
  <mergeCells count="11">
    <mergeCell ref="B27:E27"/>
    <mergeCell ref="B28:E28"/>
    <mergeCell ref="A5:E5"/>
    <mergeCell ref="A6:E6"/>
    <mergeCell ref="A7:E7"/>
    <mergeCell ref="A8:E8"/>
    <mergeCell ref="C11:D11"/>
    <mergeCell ref="C12:D12"/>
    <mergeCell ref="B13:C13"/>
    <mergeCell ref="B14:C14"/>
    <mergeCell ref="B15:C15"/>
  </mergeCells>
  <printOptions horizontalCentered="1"/>
  <pageMargins left="0.98425196850393704" right="0.98425196850393704" top="0.78740157480314965" bottom="0.78740157480314965" header="0" footer="0"/>
  <pageSetup paperSize="9" scale="79" firstPageNumber="2" fitToHeight="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2:P75"/>
  <sheetViews>
    <sheetView showZeros="0" zoomScale="90" zoomScaleNormal="90" workbookViewId="0">
      <selection activeCell="P67" sqref="P67"/>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45</v>
      </c>
      <c r="B2" s="313"/>
      <c r="C2" s="313"/>
      <c r="D2" s="313"/>
      <c r="E2" s="313"/>
      <c r="F2" s="158"/>
    </row>
    <row r="3" spans="1:16">
      <c r="A3" s="122"/>
      <c r="B3" s="122"/>
      <c r="C3" s="122"/>
      <c r="D3" s="122"/>
      <c r="E3" s="122"/>
      <c r="F3" s="158"/>
    </row>
    <row r="4" spans="1:16">
      <c r="A4" s="314" t="s">
        <v>393</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394</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91</v>
      </c>
      <c r="B16" s="126"/>
      <c r="C16" s="22" t="s">
        <v>393</v>
      </c>
      <c r="D16" s="167"/>
      <c r="E16" s="167"/>
      <c r="F16" s="226"/>
      <c r="G16" s="227"/>
      <c r="H16" s="227"/>
      <c r="I16" s="227"/>
      <c r="J16" s="227"/>
      <c r="K16" s="227"/>
      <c r="L16" s="227"/>
      <c r="M16" s="227"/>
      <c r="N16" s="227"/>
      <c r="O16" s="227"/>
      <c r="P16" s="227"/>
    </row>
    <row r="17" spans="1:16">
      <c r="A17" s="129" t="s">
        <v>92</v>
      </c>
      <c r="B17" s="129"/>
      <c r="C17" s="23" t="s">
        <v>472</v>
      </c>
      <c r="D17" s="168" t="s">
        <v>0</v>
      </c>
      <c r="E17" s="169">
        <v>14</v>
      </c>
      <c r="F17" s="202">
        <v>1</v>
      </c>
      <c r="G17" s="203">
        <v>6</v>
      </c>
      <c r="H17" s="204">
        <f t="shared" ref="H17:H62" si="0">ROUND(G17*F17,2)</f>
        <v>6</v>
      </c>
      <c r="I17" s="205">
        <v>5.33</v>
      </c>
      <c r="J17" s="144">
        <v>0.3</v>
      </c>
      <c r="K17" s="207">
        <f t="shared" ref="K17:K62" si="1">SUM(H17:J17)</f>
        <v>11.63</v>
      </c>
      <c r="L17" s="204">
        <f t="shared" ref="L17:L62" si="2">ROUND(F17*E17,2)</f>
        <v>14</v>
      </c>
      <c r="M17" s="207">
        <f t="shared" ref="M17:M62" si="3">ROUND(H17*E17,2)</f>
        <v>84</v>
      </c>
      <c r="N17" s="204">
        <f t="shared" ref="N17:N62" si="4">ROUND(I17*E17,2)</f>
        <v>74.62</v>
      </c>
      <c r="O17" s="204">
        <f t="shared" ref="O17:O62" si="5">ROUND(J17*E17,2)</f>
        <v>4.2</v>
      </c>
      <c r="P17" s="204">
        <f t="shared" ref="P17:P62" si="6">SUM(M17:O17)</f>
        <v>162.82</v>
      </c>
    </row>
    <row r="18" spans="1:16">
      <c r="A18" s="129" t="s">
        <v>93</v>
      </c>
      <c r="B18" s="129"/>
      <c r="C18" s="23" t="s">
        <v>473</v>
      </c>
      <c r="D18" s="168" t="s">
        <v>0</v>
      </c>
      <c r="E18" s="169">
        <v>12</v>
      </c>
      <c r="F18" s="202">
        <v>1</v>
      </c>
      <c r="G18" s="203">
        <v>6</v>
      </c>
      <c r="H18" s="204">
        <f t="shared" si="0"/>
        <v>6</v>
      </c>
      <c r="I18" s="205">
        <v>5.0999999999999996</v>
      </c>
      <c r="J18" s="144">
        <v>0.3</v>
      </c>
      <c r="K18" s="207">
        <f t="shared" si="1"/>
        <v>11.4</v>
      </c>
      <c r="L18" s="204">
        <f t="shared" si="2"/>
        <v>12</v>
      </c>
      <c r="M18" s="207">
        <f t="shared" si="3"/>
        <v>72</v>
      </c>
      <c r="N18" s="204">
        <f t="shared" si="4"/>
        <v>61.2</v>
      </c>
      <c r="O18" s="204">
        <f t="shared" si="5"/>
        <v>3.6</v>
      </c>
      <c r="P18" s="204">
        <f t="shared" si="6"/>
        <v>136.80000000000001</v>
      </c>
    </row>
    <row r="19" spans="1:16">
      <c r="A19" s="129" t="s">
        <v>94</v>
      </c>
      <c r="B19" s="129"/>
      <c r="C19" s="23" t="s">
        <v>474</v>
      </c>
      <c r="D19" s="168" t="s">
        <v>0</v>
      </c>
      <c r="E19" s="169">
        <v>15</v>
      </c>
      <c r="F19" s="202">
        <v>1</v>
      </c>
      <c r="G19" s="203">
        <v>6</v>
      </c>
      <c r="H19" s="204">
        <f t="shared" si="0"/>
        <v>6</v>
      </c>
      <c r="I19" s="205">
        <v>4.0999999999999996</v>
      </c>
      <c r="J19" s="144">
        <v>0.3</v>
      </c>
      <c r="K19" s="207">
        <f t="shared" si="1"/>
        <v>10.4</v>
      </c>
      <c r="L19" s="204">
        <f t="shared" si="2"/>
        <v>15</v>
      </c>
      <c r="M19" s="207">
        <f t="shared" si="3"/>
        <v>90</v>
      </c>
      <c r="N19" s="204">
        <f t="shared" si="4"/>
        <v>61.5</v>
      </c>
      <c r="O19" s="204">
        <f t="shared" si="5"/>
        <v>4.5</v>
      </c>
      <c r="P19" s="204">
        <f t="shared" si="6"/>
        <v>156</v>
      </c>
    </row>
    <row r="20" spans="1:16">
      <c r="A20" s="129" t="s">
        <v>95</v>
      </c>
      <c r="B20" s="129"/>
      <c r="C20" s="23" t="s">
        <v>475</v>
      </c>
      <c r="D20" s="168" t="s">
        <v>0</v>
      </c>
      <c r="E20" s="169">
        <v>2.2999999999999998</v>
      </c>
      <c r="F20" s="202">
        <v>1</v>
      </c>
      <c r="G20" s="203">
        <v>6</v>
      </c>
      <c r="H20" s="144">
        <f t="shared" si="0"/>
        <v>6</v>
      </c>
      <c r="I20" s="148">
        <v>3.3</v>
      </c>
      <c r="J20" s="144">
        <v>0.3</v>
      </c>
      <c r="K20" s="207">
        <f t="shared" si="1"/>
        <v>9.6</v>
      </c>
      <c r="L20" s="204">
        <f t="shared" si="2"/>
        <v>2.2999999999999998</v>
      </c>
      <c r="M20" s="207">
        <f t="shared" si="3"/>
        <v>13.8</v>
      </c>
      <c r="N20" s="204">
        <f t="shared" si="4"/>
        <v>7.59</v>
      </c>
      <c r="O20" s="204">
        <f t="shared" si="5"/>
        <v>0.69</v>
      </c>
      <c r="P20" s="204">
        <f t="shared" si="6"/>
        <v>22.08</v>
      </c>
    </row>
    <row r="21" spans="1:16">
      <c r="A21" s="129" t="s">
        <v>96</v>
      </c>
      <c r="B21" s="129"/>
      <c r="C21" s="23" t="s">
        <v>476</v>
      </c>
      <c r="D21" s="168" t="s">
        <v>0</v>
      </c>
      <c r="E21" s="169">
        <v>17</v>
      </c>
      <c r="F21" s="202">
        <v>1</v>
      </c>
      <c r="G21" s="203">
        <v>6</v>
      </c>
      <c r="H21" s="204">
        <f t="shared" si="0"/>
        <v>6</v>
      </c>
      <c r="I21" s="205">
        <v>2.8</v>
      </c>
      <c r="J21" s="144">
        <v>0.3</v>
      </c>
      <c r="K21" s="207">
        <f t="shared" si="1"/>
        <v>9.1</v>
      </c>
      <c r="L21" s="204">
        <f t="shared" si="2"/>
        <v>17</v>
      </c>
      <c r="M21" s="207">
        <f t="shared" si="3"/>
        <v>102</v>
      </c>
      <c r="N21" s="204">
        <f t="shared" si="4"/>
        <v>47.6</v>
      </c>
      <c r="O21" s="204">
        <f t="shared" si="5"/>
        <v>5.0999999999999996</v>
      </c>
      <c r="P21" s="204">
        <f t="shared" si="6"/>
        <v>154.69999999999999</v>
      </c>
    </row>
    <row r="22" spans="1:16">
      <c r="A22" s="129" t="s">
        <v>97</v>
      </c>
      <c r="B22" s="129"/>
      <c r="C22" s="170" t="s">
        <v>477</v>
      </c>
      <c r="D22" s="168" t="s">
        <v>459</v>
      </c>
      <c r="E22" s="169">
        <v>2</v>
      </c>
      <c r="F22" s="202">
        <v>1</v>
      </c>
      <c r="G22" s="203">
        <v>6</v>
      </c>
      <c r="H22" s="204">
        <f t="shared" si="0"/>
        <v>6</v>
      </c>
      <c r="I22" s="205">
        <v>11.5</v>
      </c>
      <c r="J22" s="144">
        <v>0.3</v>
      </c>
      <c r="K22" s="207">
        <f t="shared" si="1"/>
        <v>17.8</v>
      </c>
      <c r="L22" s="204">
        <f t="shared" si="2"/>
        <v>2</v>
      </c>
      <c r="M22" s="207">
        <f t="shared" si="3"/>
        <v>12</v>
      </c>
      <c r="N22" s="204">
        <f t="shared" si="4"/>
        <v>23</v>
      </c>
      <c r="O22" s="204">
        <f t="shared" si="5"/>
        <v>0.6</v>
      </c>
      <c r="P22" s="204">
        <f t="shared" si="6"/>
        <v>35.6</v>
      </c>
    </row>
    <row r="23" spans="1:16">
      <c r="A23" s="129" t="s">
        <v>98</v>
      </c>
      <c r="B23" s="129"/>
      <c r="C23" s="170" t="s">
        <v>478</v>
      </c>
      <c r="D23" s="168" t="s">
        <v>459</v>
      </c>
      <c r="E23" s="169">
        <v>1</v>
      </c>
      <c r="F23" s="202">
        <v>1</v>
      </c>
      <c r="G23" s="203">
        <v>6</v>
      </c>
      <c r="H23" s="204">
        <f t="shared" si="0"/>
        <v>6</v>
      </c>
      <c r="I23" s="205">
        <v>8.56</v>
      </c>
      <c r="J23" s="144">
        <v>0.3</v>
      </c>
      <c r="K23" s="207">
        <f t="shared" si="1"/>
        <v>14.86</v>
      </c>
      <c r="L23" s="204">
        <f t="shared" si="2"/>
        <v>1</v>
      </c>
      <c r="M23" s="207">
        <f t="shared" si="3"/>
        <v>6</v>
      </c>
      <c r="N23" s="204">
        <f t="shared" si="4"/>
        <v>8.56</v>
      </c>
      <c r="O23" s="204">
        <f t="shared" si="5"/>
        <v>0.3</v>
      </c>
      <c r="P23" s="204">
        <f t="shared" si="6"/>
        <v>14.86</v>
      </c>
    </row>
    <row r="24" spans="1:16">
      <c r="A24" s="129" t="s">
        <v>99</v>
      </c>
      <c r="B24" s="129"/>
      <c r="C24" s="170" t="s">
        <v>479</v>
      </c>
      <c r="D24" s="168" t="s">
        <v>459</v>
      </c>
      <c r="E24" s="169">
        <v>4</v>
      </c>
      <c r="F24" s="202">
        <v>1</v>
      </c>
      <c r="G24" s="203">
        <v>6</v>
      </c>
      <c r="H24" s="204">
        <f t="shared" si="0"/>
        <v>6</v>
      </c>
      <c r="I24" s="205">
        <v>9.06</v>
      </c>
      <c r="J24" s="144">
        <v>0.3</v>
      </c>
      <c r="K24" s="207">
        <f t="shared" si="1"/>
        <v>15.36</v>
      </c>
      <c r="L24" s="204">
        <f t="shared" si="2"/>
        <v>4</v>
      </c>
      <c r="M24" s="207">
        <f t="shared" si="3"/>
        <v>24</v>
      </c>
      <c r="N24" s="204">
        <f t="shared" si="4"/>
        <v>36.24</v>
      </c>
      <c r="O24" s="204">
        <f t="shared" si="5"/>
        <v>1.2</v>
      </c>
      <c r="P24" s="204">
        <f t="shared" si="6"/>
        <v>61.44</v>
      </c>
    </row>
    <row r="25" spans="1:16">
      <c r="A25" s="129" t="s">
        <v>100</v>
      </c>
      <c r="B25" s="129"/>
      <c r="C25" s="170" t="s">
        <v>480</v>
      </c>
      <c r="D25" s="168" t="s">
        <v>459</v>
      </c>
      <c r="E25" s="169">
        <v>2</v>
      </c>
      <c r="F25" s="202">
        <v>1</v>
      </c>
      <c r="G25" s="203">
        <v>6</v>
      </c>
      <c r="H25" s="204">
        <f t="shared" si="0"/>
        <v>6</v>
      </c>
      <c r="I25" s="205">
        <v>8.5</v>
      </c>
      <c r="J25" s="144">
        <v>0.3</v>
      </c>
      <c r="K25" s="207">
        <f t="shared" si="1"/>
        <v>14.8</v>
      </c>
      <c r="L25" s="204">
        <f t="shared" si="2"/>
        <v>2</v>
      </c>
      <c r="M25" s="207">
        <f t="shared" si="3"/>
        <v>12</v>
      </c>
      <c r="N25" s="204">
        <f t="shared" si="4"/>
        <v>17</v>
      </c>
      <c r="O25" s="204">
        <f t="shared" si="5"/>
        <v>0.6</v>
      </c>
      <c r="P25" s="204">
        <f t="shared" si="6"/>
        <v>29.6</v>
      </c>
    </row>
    <row r="26" spans="1:16">
      <c r="A26" s="129" t="s">
        <v>101</v>
      </c>
      <c r="B26" s="129"/>
      <c r="C26" s="170" t="s">
        <v>481</v>
      </c>
      <c r="D26" s="168" t="s">
        <v>459</v>
      </c>
      <c r="E26" s="169">
        <v>2</v>
      </c>
      <c r="F26" s="202">
        <v>1</v>
      </c>
      <c r="G26" s="203">
        <v>6</v>
      </c>
      <c r="H26" s="204">
        <f t="shared" si="0"/>
        <v>6</v>
      </c>
      <c r="I26" s="205">
        <v>7.65</v>
      </c>
      <c r="J26" s="144">
        <v>0.3</v>
      </c>
      <c r="K26" s="207">
        <f t="shared" si="1"/>
        <v>13.95</v>
      </c>
      <c r="L26" s="204">
        <f t="shared" si="2"/>
        <v>2</v>
      </c>
      <c r="M26" s="207">
        <f t="shared" si="3"/>
        <v>12</v>
      </c>
      <c r="N26" s="204">
        <f t="shared" si="4"/>
        <v>15.3</v>
      </c>
      <c r="O26" s="204">
        <f t="shared" si="5"/>
        <v>0.6</v>
      </c>
      <c r="P26" s="204">
        <f t="shared" si="6"/>
        <v>27.9</v>
      </c>
    </row>
    <row r="27" spans="1:16">
      <c r="A27" s="129" t="s">
        <v>102</v>
      </c>
      <c r="B27" s="129"/>
      <c r="C27" s="170" t="s">
        <v>482</v>
      </c>
      <c r="D27" s="168" t="s">
        <v>459</v>
      </c>
      <c r="E27" s="169">
        <v>1</v>
      </c>
      <c r="F27" s="202">
        <v>1</v>
      </c>
      <c r="G27" s="203">
        <v>6</v>
      </c>
      <c r="H27" s="204">
        <f t="shared" si="0"/>
        <v>6</v>
      </c>
      <c r="I27" s="205">
        <v>6.86</v>
      </c>
      <c r="J27" s="144">
        <v>0.3</v>
      </c>
      <c r="K27" s="207">
        <f t="shared" si="1"/>
        <v>13.16</v>
      </c>
      <c r="L27" s="204">
        <f t="shared" si="2"/>
        <v>1</v>
      </c>
      <c r="M27" s="207">
        <f t="shared" si="3"/>
        <v>6</v>
      </c>
      <c r="N27" s="204">
        <f t="shared" si="4"/>
        <v>6.86</v>
      </c>
      <c r="O27" s="204">
        <f t="shared" si="5"/>
        <v>0.3</v>
      </c>
      <c r="P27" s="204">
        <f t="shared" si="6"/>
        <v>13.16</v>
      </c>
    </row>
    <row r="28" spans="1:16">
      <c r="A28" s="129" t="s">
        <v>103</v>
      </c>
      <c r="B28" s="129"/>
      <c r="C28" s="170" t="s">
        <v>483</v>
      </c>
      <c r="D28" s="168" t="s">
        <v>459</v>
      </c>
      <c r="E28" s="169">
        <v>1</v>
      </c>
      <c r="F28" s="202">
        <v>1</v>
      </c>
      <c r="G28" s="203">
        <v>6</v>
      </c>
      <c r="H28" s="204">
        <f t="shared" si="0"/>
        <v>6</v>
      </c>
      <c r="I28" s="205">
        <v>6.08</v>
      </c>
      <c r="J28" s="144">
        <v>0.3</v>
      </c>
      <c r="K28" s="207">
        <f t="shared" si="1"/>
        <v>12.38</v>
      </c>
      <c r="L28" s="204">
        <f t="shared" si="2"/>
        <v>1</v>
      </c>
      <c r="M28" s="207">
        <f t="shared" si="3"/>
        <v>6</v>
      </c>
      <c r="N28" s="204">
        <f t="shared" si="4"/>
        <v>6.08</v>
      </c>
      <c r="O28" s="204">
        <f t="shared" si="5"/>
        <v>0.3</v>
      </c>
      <c r="P28" s="204">
        <f t="shared" si="6"/>
        <v>12.38</v>
      </c>
    </row>
    <row r="29" spans="1:16" ht="14.25">
      <c r="A29" s="129" t="s">
        <v>104</v>
      </c>
      <c r="B29" s="129"/>
      <c r="C29" s="170" t="s">
        <v>484</v>
      </c>
      <c r="D29" s="168" t="s">
        <v>459</v>
      </c>
      <c r="E29" s="169">
        <v>6</v>
      </c>
      <c r="F29" s="202">
        <v>1</v>
      </c>
      <c r="G29" s="203">
        <v>6</v>
      </c>
      <c r="H29" s="204">
        <f t="shared" si="0"/>
        <v>6</v>
      </c>
      <c r="I29" s="205">
        <v>10.67</v>
      </c>
      <c r="J29" s="144">
        <v>0.3</v>
      </c>
      <c r="K29" s="207">
        <f t="shared" si="1"/>
        <v>16.97</v>
      </c>
      <c r="L29" s="204">
        <f t="shared" si="2"/>
        <v>6</v>
      </c>
      <c r="M29" s="207">
        <f t="shared" si="3"/>
        <v>36</v>
      </c>
      <c r="N29" s="204">
        <f t="shared" si="4"/>
        <v>64.02</v>
      </c>
      <c r="O29" s="204">
        <f t="shared" si="5"/>
        <v>1.8</v>
      </c>
      <c r="P29" s="204">
        <f t="shared" si="6"/>
        <v>101.82</v>
      </c>
    </row>
    <row r="30" spans="1:16" ht="14.25">
      <c r="A30" s="129" t="s">
        <v>105</v>
      </c>
      <c r="B30" s="129"/>
      <c r="C30" s="170" t="s">
        <v>485</v>
      </c>
      <c r="D30" s="168" t="s">
        <v>459</v>
      </c>
      <c r="E30" s="169">
        <v>3</v>
      </c>
      <c r="F30" s="202">
        <v>1</v>
      </c>
      <c r="G30" s="203">
        <v>6</v>
      </c>
      <c r="H30" s="204">
        <f t="shared" si="0"/>
        <v>6</v>
      </c>
      <c r="I30" s="205">
        <v>7.61</v>
      </c>
      <c r="J30" s="144">
        <v>0.3</v>
      </c>
      <c r="K30" s="207">
        <f t="shared" si="1"/>
        <v>13.91</v>
      </c>
      <c r="L30" s="204">
        <f t="shared" si="2"/>
        <v>3</v>
      </c>
      <c r="M30" s="207">
        <f t="shared" si="3"/>
        <v>18</v>
      </c>
      <c r="N30" s="204">
        <f t="shared" si="4"/>
        <v>22.83</v>
      </c>
      <c r="O30" s="204">
        <f t="shared" si="5"/>
        <v>0.9</v>
      </c>
      <c r="P30" s="204">
        <f t="shared" si="6"/>
        <v>41.73</v>
      </c>
    </row>
    <row r="31" spans="1:16" ht="14.25">
      <c r="A31" s="129" t="s">
        <v>515</v>
      </c>
      <c r="B31" s="129"/>
      <c r="C31" s="170" t="s">
        <v>486</v>
      </c>
      <c r="D31" s="168" t="s">
        <v>459</v>
      </c>
      <c r="E31" s="169">
        <v>2</v>
      </c>
      <c r="F31" s="202">
        <v>1</v>
      </c>
      <c r="G31" s="203">
        <v>6</v>
      </c>
      <c r="H31" s="204">
        <f t="shared" si="0"/>
        <v>6</v>
      </c>
      <c r="I31" s="205">
        <v>5.76</v>
      </c>
      <c r="J31" s="144">
        <v>0.3</v>
      </c>
      <c r="K31" s="207">
        <f t="shared" si="1"/>
        <v>12.06</v>
      </c>
      <c r="L31" s="204">
        <f t="shared" si="2"/>
        <v>2</v>
      </c>
      <c r="M31" s="207">
        <f t="shared" si="3"/>
        <v>12</v>
      </c>
      <c r="N31" s="204">
        <f t="shared" si="4"/>
        <v>11.52</v>
      </c>
      <c r="O31" s="204">
        <f t="shared" si="5"/>
        <v>0.6</v>
      </c>
      <c r="P31" s="204">
        <f t="shared" si="6"/>
        <v>24.12</v>
      </c>
    </row>
    <row r="32" spans="1:16" ht="14.25">
      <c r="A32" s="129" t="s">
        <v>516</v>
      </c>
      <c r="B32" s="129"/>
      <c r="C32" s="170" t="s">
        <v>487</v>
      </c>
      <c r="D32" s="168" t="s">
        <v>459</v>
      </c>
      <c r="E32" s="169">
        <v>3</v>
      </c>
      <c r="F32" s="202">
        <v>1</v>
      </c>
      <c r="G32" s="203">
        <v>6</v>
      </c>
      <c r="H32" s="204">
        <f t="shared" si="0"/>
        <v>6</v>
      </c>
      <c r="I32" s="205">
        <v>4.72</v>
      </c>
      <c r="J32" s="144">
        <v>0.3</v>
      </c>
      <c r="K32" s="207">
        <f t="shared" si="1"/>
        <v>11.02</v>
      </c>
      <c r="L32" s="204">
        <f t="shared" si="2"/>
        <v>3</v>
      </c>
      <c r="M32" s="207">
        <f t="shared" si="3"/>
        <v>18</v>
      </c>
      <c r="N32" s="204">
        <f t="shared" si="4"/>
        <v>14.16</v>
      </c>
      <c r="O32" s="204">
        <f t="shared" si="5"/>
        <v>0.9</v>
      </c>
      <c r="P32" s="204">
        <f t="shared" si="6"/>
        <v>33.06</v>
      </c>
    </row>
    <row r="33" spans="1:16" ht="14.25">
      <c r="A33" s="129" t="s">
        <v>517</v>
      </c>
      <c r="B33" s="129"/>
      <c r="C33" s="170" t="s">
        <v>488</v>
      </c>
      <c r="D33" s="168" t="s">
        <v>459</v>
      </c>
      <c r="E33" s="169">
        <v>8</v>
      </c>
      <c r="F33" s="202">
        <v>1</v>
      </c>
      <c r="G33" s="203">
        <v>6</v>
      </c>
      <c r="H33" s="204">
        <f t="shared" si="0"/>
        <v>6</v>
      </c>
      <c r="I33" s="205">
        <v>4.72</v>
      </c>
      <c r="J33" s="144">
        <v>0.3</v>
      </c>
      <c r="K33" s="207">
        <f t="shared" si="1"/>
        <v>11.02</v>
      </c>
      <c r="L33" s="204">
        <f t="shared" si="2"/>
        <v>8</v>
      </c>
      <c r="M33" s="207">
        <f t="shared" si="3"/>
        <v>48</v>
      </c>
      <c r="N33" s="204">
        <f t="shared" si="4"/>
        <v>37.76</v>
      </c>
      <c r="O33" s="204">
        <f t="shared" si="5"/>
        <v>2.4</v>
      </c>
      <c r="P33" s="204">
        <f t="shared" si="6"/>
        <v>88.16</v>
      </c>
    </row>
    <row r="34" spans="1:16">
      <c r="A34" s="129" t="s">
        <v>518</v>
      </c>
      <c r="B34" s="129"/>
      <c r="C34" s="170" t="s">
        <v>489</v>
      </c>
      <c r="D34" s="168" t="s">
        <v>459</v>
      </c>
      <c r="E34" s="169">
        <v>3</v>
      </c>
      <c r="F34" s="202">
        <v>1</v>
      </c>
      <c r="G34" s="203">
        <v>6</v>
      </c>
      <c r="H34" s="204">
        <f t="shared" si="0"/>
        <v>6</v>
      </c>
      <c r="I34" s="205">
        <v>7.77</v>
      </c>
      <c r="J34" s="144">
        <v>0.3</v>
      </c>
      <c r="K34" s="207">
        <f t="shared" si="1"/>
        <v>14.07</v>
      </c>
      <c r="L34" s="204">
        <f t="shared" si="2"/>
        <v>3</v>
      </c>
      <c r="M34" s="207">
        <f t="shared" si="3"/>
        <v>18</v>
      </c>
      <c r="N34" s="204">
        <f t="shared" si="4"/>
        <v>23.31</v>
      </c>
      <c r="O34" s="204">
        <f t="shared" si="5"/>
        <v>0.9</v>
      </c>
      <c r="P34" s="204">
        <f t="shared" si="6"/>
        <v>42.21</v>
      </c>
    </row>
    <row r="35" spans="1:16">
      <c r="A35" s="129" t="s">
        <v>519</v>
      </c>
      <c r="B35" s="129"/>
      <c r="C35" s="170" t="s">
        <v>490</v>
      </c>
      <c r="D35" s="168" t="s">
        <v>459</v>
      </c>
      <c r="E35" s="169">
        <v>3</v>
      </c>
      <c r="F35" s="202">
        <v>1</v>
      </c>
      <c r="G35" s="203">
        <v>6</v>
      </c>
      <c r="H35" s="204">
        <f t="shared" si="0"/>
        <v>6</v>
      </c>
      <c r="I35" s="205">
        <v>5.49</v>
      </c>
      <c r="J35" s="144">
        <v>0.3</v>
      </c>
      <c r="K35" s="207">
        <f t="shared" si="1"/>
        <v>11.79</v>
      </c>
      <c r="L35" s="204">
        <f t="shared" si="2"/>
        <v>3</v>
      </c>
      <c r="M35" s="207">
        <f t="shared" si="3"/>
        <v>18</v>
      </c>
      <c r="N35" s="204">
        <f t="shared" si="4"/>
        <v>16.47</v>
      </c>
      <c r="O35" s="204">
        <f t="shared" si="5"/>
        <v>0.9</v>
      </c>
      <c r="P35" s="204">
        <f t="shared" si="6"/>
        <v>35.369999999999997</v>
      </c>
    </row>
    <row r="36" spans="1:16">
      <c r="A36" s="129" t="s">
        <v>520</v>
      </c>
      <c r="B36" s="129"/>
      <c r="C36" s="170" t="s">
        <v>491</v>
      </c>
      <c r="D36" s="168" t="s">
        <v>459</v>
      </c>
      <c r="E36" s="169">
        <v>1</v>
      </c>
      <c r="F36" s="202">
        <v>1</v>
      </c>
      <c r="G36" s="203">
        <v>6</v>
      </c>
      <c r="H36" s="204">
        <f t="shared" si="0"/>
        <v>6</v>
      </c>
      <c r="I36" s="205">
        <v>4.9000000000000004</v>
      </c>
      <c r="J36" s="144">
        <v>0.3</v>
      </c>
      <c r="K36" s="207">
        <f t="shared" si="1"/>
        <v>11.2</v>
      </c>
      <c r="L36" s="204">
        <f t="shared" si="2"/>
        <v>1</v>
      </c>
      <c r="M36" s="207">
        <f t="shared" si="3"/>
        <v>6</v>
      </c>
      <c r="N36" s="204">
        <f t="shared" si="4"/>
        <v>4.9000000000000004</v>
      </c>
      <c r="O36" s="204">
        <f t="shared" si="5"/>
        <v>0.3</v>
      </c>
      <c r="P36" s="204">
        <f t="shared" si="6"/>
        <v>11.2</v>
      </c>
    </row>
    <row r="37" spans="1:16">
      <c r="A37" s="129" t="s">
        <v>521</v>
      </c>
      <c r="B37" s="129"/>
      <c r="C37" s="170" t="s">
        <v>492</v>
      </c>
      <c r="D37" s="168" t="s">
        <v>459</v>
      </c>
      <c r="E37" s="169">
        <v>3</v>
      </c>
      <c r="F37" s="202">
        <v>1</v>
      </c>
      <c r="G37" s="203">
        <v>6</v>
      </c>
      <c r="H37" s="204">
        <f t="shared" si="0"/>
        <v>6</v>
      </c>
      <c r="I37" s="205">
        <v>4.1100000000000003</v>
      </c>
      <c r="J37" s="144">
        <v>0.3</v>
      </c>
      <c r="K37" s="207">
        <f t="shared" si="1"/>
        <v>10.41</v>
      </c>
      <c r="L37" s="204">
        <f t="shared" si="2"/>
        <v>3</v>
      </c>
      <c r="M37" s="207">
        <f t="shared" si="3"/>
        <v>18</v>
      </c>
      <c r="N37" s="204">
        <f t="shared" si="4"/>
        <v>12.33</v>
      </c>
      <c r="O37" s="204">
        <f t="shared" si="5"/>
        <v>0.9</v>
      </c>
      <c r="P37" s="204">
        <f t="shared" si="6"/>
        <v>31.23</v>
      </c>
    </row>
    <row r="38" spans="1:16">
      <c r="A38" s="129" t="s">
        <v>522</v>
      </c>
      <c r="B38" s="129"/>
      <c r="C38" s="170" t="s">
        <v>493</v>
      </c>
      <c r="D38" s="168" t="s">
        <v>459</v>
      </c>
      <c r="E38" s="169">
        <v>1</v>
      </c>
      <c r="F38" s="202">
        <v>1</v>
      </c>
      <c r="G38" s="203">
        <v>6</v>
      </c>
      <c r="H38" s="204">
        <f t="shared" si="0"/>
        <v>6</v>
      </c>
      <c r="I38" s="205">
        <v>3.8</v>
      </c>
      <c r="J38" s="144">
        <v>0.3</v>
      </c>
      <c r="K38" s="207">
        <f t="shared" si="1"/>
        <v>10.1</v>
      </c>
      <c r="L38" s="204">
        <f t="shared" si="2"/>
        <v>1</v>
      </c>
      <c r="M38" s="207">
        <f t="shared" si="3"/>
        <v>6</v>
      </c>
      <c r="N38" s="204">
        <f t="shared" si="4"/>
        <v>3.8</v>
      </c>
      <c r="O38" s="204">
        <f t="shared" si="5"/>
        <v>0.3</v>
      </c>
      <c r="P38" s="204">
        <f t="shared" si="6"/>
        <v>10.1</v>
      </c>
    </row>
    <row r="39" spans="1:16">
      <c r="A39" s="129" t="s">
        <v>523</v>
      </c>
      <c r="B39" s="129"/>
      <c r="C39" s="170" t="s">
        <v>494</v>
      </c>
      <c r="D39" s="168" t="s">
        <v>459</v>
      </c>
      <c r="E39" s="169">
        <v>1</v>
      </c>
      <c r="F39" s="202">
        <v>5</v>
      </c>
      <c r="G39" s="203">
        <v>6</v>
      </c>
      <c r="H39" s="204">
        <f t="shared" si="0"/>
        <v>30</v>
      </c>
      <c r="I39" s="205">
        <v>49</v>
      </c>
      <c r="J39" s="206">
        <v>0.5</v>
      </c>
      <c r="K39" s="207">
        <f t="shared" si="1"/>
        <v>79.5</v>
      </c>
      <c r="L39" s="204">
        <f t="shared" si="2"/>
        <v>5</v>
      </c>
      <c r="M39" s="207">
        <f t="shared" si="3"/>
        <v>30</v>
      </c>
      <c r="N39" s="204">
        <f t="shared" si="4"/>
        <v>49</v>
      </c>
      <c r="O39" s="204">
        <f t="shared" si="5"/>
        <v>0.5</v>
      </c>
      <c r="P39" s="204">
        <f t="shared" si="6"/>
        <v>79.5</v>
      </c>
    </row>
    <row r="40" spans="1:16">
      <c r="A40" s="129" t="s">
        <v>524</v>
      </c>
      <c r="B40" s="129"/>
      <c r="C40" s="170" t="s">
        <v>495</v>
      </c>
      <c r="D40" s="168" t="s">
        <v>459</v>
      </c>
      <c r="E40" s="169">
        <v>1</v>
      </c>
      <c r="F40" s="202">
        <f>7/5</f>
        <v>1.4</v>
      </c>
      <c r="G40" s="203">
        <v>6</v>
      </c>
      <c r="H40" s="204">
        <f t="shared" si="0"/>
        <v>8.4</v>
      </c>
      <c r="I40" s="205">
        <v>6.3</v>
      </c>
      <c r="J40" s="206">
        <v>0.3</v>
      </c>
      <c r="K40" s="207">
        <f t="shared" si="1"/>
        <v>15</v>
      </c>
      <c r="L40" s="204">
        <f t="shared" si="2"/>
        <v>1.4</v>
      </c>
      <c r="M40" s="207">
        <f t="shared" si="3"/>
        <v>8.4</v>
      </c>
      <c r="N40" s="204">
        <f t="shared" si="4"/>
        <v>6.3</v>
      </c>
      <c r="O40" s="204">
        <f t="shared" si="5"/>
        <v>0.3</v>
      </c>
      <c r="P40" s="204">
        <f t="shared" si="6"/>
        <v>15</v>
      </c>
    </row>
    <row r="41" spans="1:16">
      <c r="A41" s="129" t="s">
        <v>525</v>
      </c>
      <c r="B41" s="129"/>
      <c r="C41" s="23" t="s">
        <v>496</v>
      </c>
      <c r="D41" s="168" t="s">
        <v>459</v>
      </c>
      <c r="E41" s="169">
        <v>3</v>
      </c>
      <c r="F41" s="202">
        <f t="shared" ref="F41:F46" si="7">7/5</f>
        <v>1.4</v>
      </c>
      <c r="G41" s="203">
        <v>6</v>
      </c>
      <c r="H41" s="204">
        <f t="shared" si="0"/>
        <v>8.4</v>
      </c>
      <c r="I41" s="205">
        <v>6.11</v>
      </c>
      <c r="J41" s="206">
        <v>0.3</v>
      </c>
      <c r="K41" s="207">
        <f t="shared" si="1"/>
        <v>14.81</v>
      </c>
      <c r="L41" s="204">
        <f t="shared" si="2"/>
        <v>4.2</v>
      </c>
      <c r="M41" s="207">
        <f t="shared" si="3"/>
        <v>25.2</v>
      </c>
      <c r="N41" s="204">
        <f t="shared" si="4"/>
        <v>18.329999999999998</v>
      </c>
      <c r="O41" s="204">
        <f t="shared" si="5"/>
        <v>0.9</v>
      </c>
      <c r="P41" s="204">
        <f t="shared" si="6"/>
        <v>44.43</v>
      </c>
    </row>
    <row r="42" spans="1:16">
      <c r="A42" s="129" t="s">
        <v>526</v>
      </c>
      <c r="B42" s="129"/>
      <c r="C42" s="23" t="s">
        <v>497</v>
      </c>
      <c r="D42" s="168" t="s">
        <v>459</v>
      </c>
      <c r="E42" s="169">
        <v>6</v>
      </c>
      <c r="F42" s="202">
        <f t="shared" si="7"/>
        <v>1.4</v>
      </c>
      <c r="G42" s="203">
        <v>6</v>
      </c>
      <c r="H42" s="204">
        <f t="shared" si="0"/>
        <v>8.4</v>
      </c>
      <c r="I42" s="205">
        <v>3.68</v>
      </c>
      <c r="J42" s="206">
        <v>0.3</v>
      </c>
      <c r="K42" s="207">
        <f t="shared" si="1"/>
        <v>12.38</v>
      </c>
      <c r="L42" s="204">
        <f t="shared" si="2"/>
        <v>8.4</v>
      </c>
      <c r="M42" s="207">
        <f t="shared" si="3"/>
        <v>50.4</v>
      </c>
      <c r="N42" s="204">
        <f t="shared" si="4"/>
        <v>22.08</v>
      </c>
      <c r="O42" s="204">
        <f t="shared" si="5"/>
        <v>1.8</v>
      </c>
      <c r="P42" s="204">
        <f t="shared" si="6"/>
        <v>74.28</v>
      </c>
    </row>
    <row r="43" spans="1:16">
      <c r="A43" s="129" t="s">
        <v>527</v>
      </c>
      <c r="B43" s="129"/>
      <c r="C43" s="23" t="s">
        <v>498</v>
      </c>
      <c r="D43" s="168" t="s">
        <v>459</v>
      </c>
      <c r="E43" s="169">
        <v>3</v>
      </c>
      <c r="F43" s="202">
        <f t="shared" si="7"/>
        <v>1.4</v>
      </c>
      <c r="G43" s="203">
        <v>6</v>
      </c>
      <c r="H43" s="204">
        <f t="shared" si="0"/>
        <v>8.4</v>
      </c>
      <c r="I43" s="205">
        <v>7.79</v>
      </c>
      <c r="J43" s="206">
        <v>0.3</v>
      </c>
      <c r="K43" s="207">
        <f t="shared" si="1"/>
        <v>16.489999999999998</v>
      </c>
      <c r="L43" s="204">
        <f t="shared" si="2"/>
        <v>4.2</v>
      </c>
      <c r="M43" s="207">
        <f t="shared" si="3"/>
        <v>25.2</v>
      </c>
      <c r="N43" s="204">
        <f t="shared" si="4"/>
        <v>23.37</v>
      </c>
      <c r="O43" s="204">
        <f t="shared" si="5"/>
        <v>0.9</v>
      </c>
      <c r="P43" s="204">
        <f t="shared" si="6"/>
        <v>49.47</v>
      </c>
    </row>
    <row r="44" spans="1:16">
      <c r="A44" s="129" t="s">
        <v>528</v>
      </c>
      <c r="B44" s="129"/>
      <c r="C44" s="23" t="s">
        <v>499</v>
      </c>
      <c r="D44" s="168" t="s">
        <v>459</v>
      </c>
      <c r="E44" s="169">
        <v>5</v>
      </c>
      <c r="F44" s="202">
        <f t="shared" si="7"/>
        <v>1.4</v>
      </c>
      <c r="G44" s="203">
        <v>6</v>
      </c>
      <c r="H44" s="204">
        <f t="shared" si="0"/>
        <v>8.4</v>
      </c>
      <c r="I44" s="205">
        <v>4.24</v>
      </c>
      <c r="J44" s="206">
        <v>0.3</v>
      </c>
      <c r="K44" s="207">
        <f t="shared" si="1"/>
        <v>12.94</v>
      </c>
      <c r="L44" s="204">
        <f t="shared" si="2"/>
        <v>7</v>
      </c>
      <c r="M44" s="207">
        <f t="shared" si="3"/>
        <v>42</v>
      </c>
      <c r="N44" s="204">
        <f t="shared" si="4"/>
        <v>21.2</v>
      </c>
      <c r="O44" s="204">
        <f t="shared" si="5"/>
        <v>1.5</v>
      </c>
      <c r="P44" s="204">
        <f t="shared" si="6"/>
        <v>64.7</v>
      </c>
    </row>
    <row r="45" spans="1:16">
      <c r="A45" s="129" t="s">
        <v>529</v>
      </c>
      <c r="B45" s="129"/>
      <c r="C45" s="23" t="s">
        <v>500</v>
      </c>
      <c r="D45" s="168" t="s">
        <v>459</v>
      </c>
      <c r="E45" s="169">
        <v>6</v>
      </c>
      <c r="F45" s="202">
        <f t="shared" si="7"/>
        <v>1.4</v>
      </c>
      <c r="G45" s="203">
        <v>6</v>
      </c>
      <c r="H45" s="204">
        <f t="shared" si="0"/>
        <v>8.4</v>
      </c>
      <c r="I45" s="205">
        <v>9.6</v>
      </c>
      <c r="J45" s="206">
        <v>0.3</v>
      </c>
      <c r="K45" s="207">
        <f t="shared" si="1"/>
        <v>18.3</v>
      </c>
      <c r="L45" s="204">
        <f t="shared" si="2"/>
        <v>8.4</v>
      </c>
      <c r="M45" s="207">
        <f t="shared" si="3"/>
        <v>50.4</v>
      </c>
      <c r="N45" s="204">
        <f t="shared" si="4"/>
        <v>57.6</v>
      </c>
      <c r="O45" s="204">
        <f t="shared" si="5"/>
        <v>1.8</v>
      </c>
      <c r="P45" s="204">
        <f t="shared" si="6"/>
        <v>109.8</v>
      </c>
    </row>
    <row r="46" spans="1:16">
      <c r="A46" s="129" t="s">
        <v>530</v>
      </c>
      <c r="B46" s="129"/>
      <c r="C46" s="23" t="s">
        <v>501</v>
      </c>
      <c r="D46" s="168" t="s">
        <v>459</v>
      </c>
      <c r="E46" s="169">
        <v>12</v>
      </c>
      <c r="F46" s="202">
        <f t="shared" si="7"/>
        <v>1.4</v>
      </c>
      <c r="G46" s="203">
        <v>6</v>
      </c>
      <c r="H46" s="204">
        <f t="shared" si="0"/>
        <v>8.4</v>
      </c>
      <c r="I46" s="205">
        <v>8.6999999999999993</v>
      </c>
      <c r="J46" s="206">
        <v>0.3</v>
      </c>
      <c r="K46" s="207">
        <f t="shared" si="1"/>
        <v>17.399999999999999</v>
      </c>
      <c r="L46" s="204">
        <f t="shared" si="2"/>
        <v>16.8</v>
      </c>
      <c r="M46" s="207">
        <f t="shared" si="3"/>
        <v>100.8</v>
      </c>
      <c r="N46" s="204">
        <f t="shared" si="4"/>
        <v>104.4</v>
      </c>
      <c r="O46" s="204">
        <f t="shared" si="5"/>
        <v>3.6</v>
      </c>
      <c r="P46" s="204">
        <f t="shared" si="6"/>
        <v>208.8</v>
      </c>
    </row>
    <row r="47" spans="1:16">
      <c r="A47" s="129" t="s">
        <v>531</v>
      </c>
      <c r="B47" s="129"/>
      <c r="C47" s="2" t="s">
        <v>502</v>
      </c>
      <c r="D47" s="168" t="s">
        <v>459</v>
      </c>
      <c r="E47" s="169">
        <v>2</v>
      </c>
      <c r="F47" s="202">
        <v>2</v>
      </c>
      <c r="G47" s="203">
        <v>6</v>
      </c>
      <c r="H47" s="204">
        <f t="shared" si="0"/>
        <v>12</v>
      </c>
      <c r="I47" s="205">
        <v>75</v>
      </c>
      <c r="J47" s="206">
        <v>0.5</v>
      </c>
      <c r="K47" s="207">
        <f t="shared" si="1"/>
        <v>87.5</v>
      </c>
      <c r="L47" s="204">
        <f t="shared" si="2"/>
        <v>4</v>
      </c>
      <c r="M47" s="207">
        <f t="shared" si="3"/>
        <v>24</v>
      </c>
      <c r="N47" s="204">
        <f t="shared" si="4"/>
        <v>150</v>
      </c>
      <c r="O47" s="204">
        <f t="shared" si="5"/>
        <v>1</v>
      </c>
      <c r="P47" s="204">
        <f t="shared" si="6"/>
        <v>175</v>
      </c>
    </row>
    <row r="48" spans="1:16">
      <c r="A48" s="129" t="s">
        <v>532</v>
      </c>
      <c r="B48" s="129"/>
      <c r="C48" s="2" t="s">
        <v>634</v>
      </c>
      <c r="D48" s="168" t="s">
        <v>459</v>
      </c>
      <c r="E48" s="169">
        <v>2</v>
      </c>
      <c r="F48" s="202">
        <v>2</v>
      </c>
      <c r="G48" s="203">
        <v>6</v>
      </c>
      <c r="H48" s="204">
        <f t="shared" si="0"/>
        <v>12</v>
      </c>
      <c r="I48" s="205">
        <v>42</v>
      </c>
      <c r="J48" s="206">
        <v>0.5</v>
      </c>
      <c r="K48" s="207">
        <f t="shared" si="1"/>
        <v>54.5</v>
      </c>
      <c r="L48" s="204">
        <f t="shared" si="2"/>
        <v>4</v>
      </c>
      <c r="M48" s="207">
        <f t="shared" si="3"/>
        <v>24</v>
      </c>
      <c r="N48" s="204">
        <f t="shared" si="4"/>
        <v>84</v>
      </c>
      <c r="O48" s="204">
        <f t="shared" si="5"/>
        <v>1</v>
      </c>
      <c r="P48" s="204">
        <f t="shared" si="6"/>
        <v>109</v>
      </c>
    </row>
    <row r="49" spans="1:16" ht="25.5">
      <c r="A49" s="129" t="s">
        <v>533</v>
      </c>
      <c r="B49" s="129"/>
      <c r="C49" s="170" t="s">
        <v>503</v>
      </c>
      <c r="D49" s="134" t="s">
        <v>20</v>
      </c>
      <c r="E49" s="169">
        <v>36.26</v>
      </c>
      <c r="F49" s="202">
        <f>3/5</f>
        <v>0.6</v>
      </c>
      <c r="G49" s="203">
        <v>6</v>
      </c>
      <c r="H49" s="204">
        <f t="shared" si="0"/>
        <v>3.6</v>
      </c>
      <c r="I49" s="205">
        <v>4.8</v>
      </c>
      <c r="J49" s="206">
        <v>0.1</v>
      </c>
      <c r="K49" s="207">
        <f t="shared" si="1"/>
        <v>8.5</v>
      </c>
      <c r="L49" s="204">
        <f t="shared" si="2"/>
        <v>21.76</v>
      </c>
      <c r="M49" s="207">
        <f t="shared" si="3"/>
        <v>130.54</v>
      </c>
      <c r="N49" s="204">
        <f t="shared" si="4"/>
        <v>174.05</v>
      </c>
      <c r="O49" s="204">
        <f t="shared" si="5"/>
        <v>3.63</v>
      </c>
      <c r="P49" s="204">
        <f t="shared" si="6"/>
        <v>308.22000000000003</v>
      </c>
    </row>
    <row r="50" spans="1:16" ht="25.5">
      <c r="A50" s="129" t="s">
        <v>534</v>
      </c>
      <c r="B50" s="129"/>
      <c r="C50" s="170" t="s">
        <v>504</v>
      </c>
      <c r="D50" s="134" t="s">
        <v>20</v>
      </c>
      <c r="E50" s="169">
        <v>24.96</v>
      </c>
      <c r="F50" s="202">
        <f t="shared" ref="F50:F53" si="8">3/5</f>
        <v>0.6</v>
      </c>
      <c r="G50" s="203">
        <v>6</v>
      </c>
      <c r="H50" s="204">
        <f t="shared" si="0"/>
        <v>3.6</v>
      </c>
      <c r="I50" s="205">
        <v>4.8</v>
      </c>
      <c r="J50" s="206">
        <v>0.1</v>
      </c>
      <c r="K50" s="207">
        <f t="shared" si="1"/>
        <v>8.5</v>
      </c>
      <c r="L50" s="204">
        <f t="shared" si="2"/>
        <v>14.98</v>
      </c>
      <c r="M50" s="207">
        <f t="shared" si="3"/>
        <v>89.86</v>
      </c>
      <c r="N50" s="204">
        <f t="shared" si="4"/>
        <v>119.81</v>
      </c>
      <c r="O50" s="204">
        <f t="shared" si="5"/>
        <v>2.5</v>
      </c>
      <c r="P50" s="204">
        <f t="shared" si="6"/>
        <v>212.17</v>
      </c>
    </row>
    <row r="51" spans="1:16" ht="25.5">
      <c r="A51" s="129" t="s">
        <v>535</v>
      </c>
      <c r="B51" s="129"/>
      <c r="C51" s="170" t="s">
        <v>505</v>
      </c>
      <c r="D51" s="134" t="s">
        <v>20</v>
      </c>
      <c r="E51" s="169">
        <v>25.35</v>
      </c>
      <c r="F51" s="202">
        <f t="shared" si="8"/>
        <v>0.6</v>
      </c>
      <c r="G51" s="203">
        <v>6</v>
      </c>
      <c r="H51" s="204">
        <f t="shared" si="0"/>
        <v>3.6</v>
      </c>
      <c r="I51" s="205">
        <v>4.8</v>
      </c>
      <c r="J51" s="206">
        <v>0.1</v>
      </c>
      <c r="K51" s="207">
        <f t="shared" si="1"/>
        <v>8.5</v>
      </c>
      <c r="L51" s="204">
        <f t="shared" si="2"/>
        <v>15.21</v>
      </c>
      <c r="M51" s="207">
        <f t="shared" si="3"/>
        <v>91.26</v>
      </c>
      <c r="N51" s="204">
        <f t="shared" si="4"/>
        <v>121.68</v>
      </c>
      <c r="O51" s="204">
        <f t="shared" si="5"/>
        <v>2.54</v>
      </c>
      <c r="P51" s="204">
        <f t="shared" si="6"/>
        <v>215.48</v>
      </c>
    </row>
    <row r="52" spans="1:16" ht="25.5">
      <c r="A52" s="129" t="s">
        <v>536</v>
      </c>
      <c r="B52" s="129"/>
      <c r="C52" s="170" t="s">
        <v>506</v>
      </c>
      <c r="D52" s="134" t="s">
        <v>20</v>
      </c>
      <c r="E52" s="169">
        <v>2.66</v>
      </c>
      <c r="F52" s="202">
        <f t="shared" si="8"/>
        <v>0.6</v>
      </c>
      <c r="G52" s="203">
        <v>6</v>
      </c>
      <c r="H52" s="204">
        <f t="shared" si="0"/>
        <v>3.6</v>
      </c>
      <c r="I52" s="205">
        <v>4.8</v>
      </c>
      <c r="J52" s="206">
        <v>0.1</v>
      </c>
      <c r="K52" s="207">
        <f t="shared" si="1"/>
        <v>8.5</v>
      </c>
      <c r="L52" s="204">
        <f t="shared" si="2"/>
        <v>1.6</v>
      </c>
      <c r="M52" s="207">
        <f t="shared" si="3"/>
        <v>9.58</v>
      </c>
      <c r="N52" s="204">
        <f t="shared" si="4"/>
        <v>12.77</v>
      </c>
      <c r="O52" s="204">
        <f t="shared" si="5"/>
        <v>0.27</v>
      </c>
      <c r="P52" s="204">
        <f t="shared" si="6"/>
        <v>22.62</v>
      </c>
    </row>
    <row r="53" spans="1:16" ht="25.5">
      <c r="A53" s="129" t="s">
        <v>537</v>
      </c>
      <c r="B53" s="129"/>
      <c r="C53" s="170" t="s">
        <v>507</v>
      </c>
      <c r="D53" s="134" t="s">
        <v>20</v>
      </c>
      <c r="E53" s="169">
        <v>15.12</v>
      </c>
      <c r="F53" s="202">
        <f t="shared" si="8"/>
        <v>0.6</v>
      </c>
      <c r="G53" s="203">
        <v>6</v>
      </c>
      <c r="H53" s="204">
        <f t="shared" si="0"/>
        <v>3.6</v>
      </c>
      <c r="I53" s="205">
        <v>4.8</v>
      </c>
      <c r="J53" s="206">
        <v>0.1</v>
      </c>
      <c r="K53" s="207">
        <f t="shared" si="1"/>
        <v>8.5</v>
      </c>
      <c r="L53" s="204">
        <f t="shared" si="2"/>
        <v>9.07</v>
      </c>
      <c r="M53" s="207">
        <f t="shared" si="3"/>
        <v>54.43</v>
      </c>
      <c r="N53" s="204">
        <f t="shared" si="4"/>
        <v>72.58</v>
      </c>
      <c r="O53" s="204">
        <f t="shared" si="5"/>
        <v>1.51</v>
      </c>
      <c r="P53" s="204">
        <f t="shared" si="6"/>
        <v>128.52000000000001</v>
      </c>
    </row>
    <row r="54" spans="1:16" ht="38.25">
      <c r="A54" s="129" t="s">
        <v>538</v>
      </c>
      <c r="B54" s="129"/>
      <c r="C54" s="23" t="s">
        <v>508</v>
      </c>
      <c r="D54" s="168" t="s">
        <v>459</v>
      </c>
      <c r="E54" s="169">
        <v>1</v>
      </c>
      <c r="F54" s="202">
        <v>60</v>
      </c>
      <c r="G54" s="203">
        <v>6</v>
      </c>
      <c r="H54" s="204">
        <f t="shared" si="0"/>
        <v>360</v>
      </c>
      <c r="I54" s="205">
        <v>3700</v>
      </c>
      <c r="J54" s="206">
        <v>50</v>
      </c>
      <c r="K54" s="207">
        <f t="shared" si="1"/>
        <v>4110</v>
      </c>
      <c r="L54" s="204">
        <f t="shared" si="2"/>
        <v>60</v>
      </c>
      <c r="M54" s="207">
        <f t="shared" si="3"/>
        <v>360</v>
      </c>
      <c r="N54" s="204">
        <f t="shared" si="4"/>
        <v>3700</v>
      </c>
      <c r="O54" s="204">
        <f t="shared" si="5"/>
        <v>50</v>
      </c>
      <c r="P54" s="204">
        <f t="shared" si="6"/>
        <v>4110</v>
      </c>
    </row>
    <row r="55" spans="1:16">
      <c r="A55" s="129" t="s">
        <v>539</v>
      </c>
      <c r="B55" s="129"/>
      <c r="C55" s="23" t="s">
        <v>463</v>
      </c>
      <c r="D55" s="153" t="s">
        <v>464</v>
      </c>
      <c r="E55" s="163">
        <v>1</v>
      </c>
      <c r="F55" s="202"/>
      <c r="G55" s="203">
        <v>6</v>
      </c>
      <c r="H55" s="204">
        <f t="shared" si="0"/>
        <v>0</v>
      </c>
      <c r="I55" s="205">
        <v>150</v>
      </c>
      <c r="J55" s="206"/>
      <c r="K55" s="207">
        <f t="shared" si="1"/>
        <v>150</v>
      </c>
      <c r="L55" s="204">
        <f t="shared" si="2"/>
        <v>0</v>
      </c>
      <c r="M55" s="207">
        <f t="shared" si="3"/>
        <v>0</v>
      </c>
      <c r="N55" s="204">
        <f t="shared" si="4"/>
        <v>150</v>
      </c>
      <c r="O55" s="204">
        <f t="shared" si="5"/>
        <v>0</v>
      </c>
      <c r="P55" s="204">
        <f t="shared" si="6"/>
        <v>150</v>
      </c>
    </row>
    <row r="56" spans="1:16">
      <c r="A56" s="126" t="s">
        <v>540</v>
      </c>
      <c r="B56" s="126"/>
      <c r="C56" s="7" t="s">
        <v>509</v>
      </c>
      <c r="D56" s="168"/>
      <c r="E56" s="169"/>
      <c r="F56" s="202"/>
      <c r="G56" s="203">
        <v>6</v>
      </c>
      <c r="H56" s="204">
        <f t="shared" si="0"/>
        <v>0</v>
      </c>
      <c r="I56" s="205"/>
      <c r="J56" s="206"/>
      <c r="K56" s="207">
        <f t="shared" si="1"/>
        <v>0</v>
      </c>
      <c r="L56" s="204">
        <f t="shared" si="2"/>
        <v>0</v>
      </c>
      <c r="M56" s="207">
        <f t="shared" si="3"/>
        <v>0</v>
      </c>
      <c r="N56" s="204">
        <f t="shared" si="4"/>
        <v>0</v>
      </c>
      <c r="O56" s="204">
        <f t="shared" si="5"/>
        <v>0</v>
      </c>
      <c r="P56" s="204">
        <f t="shared" si="6"/>
        <v>0</v>
      </c>
    </row>
    <row r="57" spans="1:16">
      <c r="A57" s="129" t="s">
        <v>546</v>
      </c>
      <c r="B57" s="129"/>
      <c r="C57" s="2" t="s">
        <v>510</v>
      </c>
      <c r="D57" s="171" t="s">
        <v>0</v>
      </c>
      <c r="E57" s="172">
        <v>16</v>
      </c>
      <c r="F57" s="202">
        <v>1.4</v>
      </c>
      <c r="G57" s="203">
        <v>6</v>
      </c>
      <c r="H57" s="204">
        <f t="shared" si="0"/>
        <v>8.4</v>
      </c>
      <c r="I57" s="205">
        <v>7.4</v>
      </c>
      <c r="J57" s="206">
        <v>0.3</v>
      </c>
      <c r="K57" s="207">
        <f t="shared" si="1"/>
        <v>16.100000000000001</v>
      </c>
      <c r="L57" s="204">
        <f t="shared" si="2"/>
        <v>22.4</v>
      </c>
      <c r="M57" s="207">
        <f t="shared" si="3"/>
        <v>134.4</v>
      </c>
      <c r="N57" s="204">
        <f t="shared" si="4"/>
        <v>118.4</v>
      </c>
      <c r="O57" s="204">
        <f t="shared" si="5"/>
        <v>4.8</v>
      </c>
      <c r="P57" s="204">
        <f t="shared" si="6"/>
        <v>257.60000000000002</v>
      </c>
    </row>
    <row r="58" spans="1:16" ht="14.25">
      <c r="A58" s="129" t="s">
        <v>541</v>
      </c>
      <c r="B58" s="129"/>
      <c r="C58" s="2" t="s">
        <v>511</v>
      </c>
      <c r="D58" s="168" t="s">
        <v>459</v>
      </c>
      <c r="E58" s="169">
        <v>6</v>
      </c>
      <c r="F58" s="202">
        <f>3/5</f>
        <v>0.6</v>
      </c>
      <c r="G58" s="203">
        <v>6</v>
      </c>
      <c r="H58" s="204">
        <f t="shared" si="0"/>
        <v>3.6</v>
      </c>
      <c r="I58" s="205">
        <v>0.82</v>
      </c>
      <c r="J58" s="206">
        <v>0.1</v>
      </c>
      <c r="K58" s="207">
        <f t="shared" si="1"/>
        <v>4.5199999999999996</v>
      </c>
      <c r="L58" s="204">
        <f t="shared" si="2"/>
        <v>3.6</v>
      </c>
      <c r="M58" s="207">
        <f t="shared" si="3"/>
        <v>21.6</v>
      </c>
      <c r="N58" s="204">
        <f t="shared" si="4"/>
        <v>4.92</v>
      </c>
      <c r="O58" s="204">
        <f t="shared" si="5"/>
        <v>0.6</v>
      </c>
      <c r="P58" s="204">
        <f t="shared" si="6"/>
        <v>27.12</v>
      </c>
    </row>
    <row r="59" spans="1:16">
      <c r="A59" s="129" t="s">
        <v>542</v>
      </c>
      <c r="B59" s="129"/>
      <c r="C59" s="2" t="s">
        <v>512</v>
      </c>
      <c r="D59" s="168" t="s">
        <v>459</v>
      </c>
      <c r="E59" s="169">
        <v>2</v>
      </c>
      <c r="F59" s="202">
        <v>1</v>
      </c>
      <c r="G59" s="203">
        <v>6</v>
      </c>
      <c r="H59" s="204">
        <f t="shared" si="0"/>
        <v>6</v>
      </c>
      <c r="I59" s="205">
        <v>6.85</v>
      </c>
      <c r="J59" s="206">
        <v>0.2</v>
      </c>
      <c r="K59" s="207">
        <f t="shared" si="1"/>
        <v>13.05</v>
      </c>
      <c r="L59" s="204">
        <f t="shared" si="2"/>
        <v>2</v>
      </c>
      <c r="M59" s="207">
        <f t="shared" si="3"/>
        <v>12</v>
      </c>
      <c r="N59" s="204">
        <f t="shared" si="4"/>
        <v>13.7</v>
      </c>
      <c r="O59" s="204">
        <f t="shared" si="5"/>
        <v>0.4</v>
      </c>
      <c r="P59" s="204">
        <f t="shared" si="6"/>
        <v>26.1</v>
      </c>
    </row>
    <row r="60" spans="1:16">
      <c r="A60" s="129" t="s">
        <v>543</v>
      </c>
      <c r="B60" s="129"/>
      <c r="C60" s="23" t="s">
        <v>513</v>
      </c>
      <c r="D60" s="168" t="s">
        <v>459</v>
      </c>
      <c r="E60" s="169">
        <v>2</v>
      </c>
      <c r="F60" s="202">
        <v>1</v>
      </c>
      <c r="G60" s="203">
        <v>6</v>
      </c>
      <c r="H60" s="204">
        <f t="shared" si="0"/>
        <v>6</v>
      </c>
      <c r="I60" s="205">
        <v>5.52</v>
      </c>
      <c r="J60" s="206">
        <v>0.2</v>
      </c>
      <c r="K60" s="207">
        <f t="shared" si="1"/>
        <v>11.72</v>
      </c>
      <c r="L60" s="204">
        <f t="shared" si="2"/>
        <v>2</v>
      </c>
      <c r="M60" s="207">
        <f t="shared" si="3"/>
        <v>12</v>
      </c>
      <c r="N60" s="204">
        <f t="shared" si="4"/>
        <v>11.04</v>
      </c>
      <c r="O60" s="204">
        <f t="shared" si="5"/>
        <v>0.4</v>
      </c>
      <c r="P60" s="204">
        <f t="shared" si="6"/>
        <v>23.44</v>
      </c>
    </row>
    <row r="61" spans="1:16">
      <c r="A61" s="129" t="s">
        <v>544</v>
      </c>
      <c r="B61" s="129"/>
      <c r="C61" s="23" t="s">
        <v>514</v>
      </c>
      <c r="D61" s="168" t="s">
        <v>459</v>
      </c>
      <c r="E61" s="169">
        <v>2</v>
      </c>
      <c r="F61" s="202">
        <v>1</v>
      </c>
      <c r="G61" s="203">
        <v>6</v>
      </c>
      <c r="H61" s="204">
        <f t="shared" si="0"/>
        <v>6</v>
      </c>
      <c r="I61" s="205">
        <v>4.83</v>
      </c>
      <c r="J61" s="206">
        <v>0.2</v>
      </c>
      <c r="K61" s="207">
        <f t="shared" si="1"/>
        <v>11.03</v>
      </c>
      <c r="L61" s="204">
        <f t="shared" si="2"/>
        <v>2</v>
      </c>
      <c r="M61" s="207">
        <f t="shared" si="3"/>
        <v>12</v>
      </c>
      <c r="N61" s="204">
        <f t="shared" si="4"/>
        <v>9.66</v>
      </c>
      <c r="O61" s="204">
        <f t="shared" si="5"/>
        <v>0.4</v>
      </c>
      <c r="P61" s="204">
        <f t="shared" si="6"/>
        <v>22.06</v>
      </c>
    </row>
    <row r="62" spans="1:16">
      <c r="A62" s="129" t="s">
        <v>545</v>
      </c>
      <c r="B62" s="129"/>
      <c r="C62" s="23" t="s">
        <v>463</v>
      </c>
      <c r="D62" s="153" t="s">
        <v>464</v>
      </c>
      <c r="E62" s="163">
        <v>1</v>
      </c>
      <c r="F62" s="202"/>
      <c r="G62" s="203">
        <v>6</v>
      </c>
      <c r="H62" s="204">
        <f t="shared" si="0"/>
        <v>0</v>
      </c>
      <c r="I62" s="205">
        <v>20</v>
      </c>
      <c r="J62" s="206"/>
      <c r="K62" s="207">
        <f t="shared" si="1"/>
        <v>20</v>
      </c>
      <c r="L62" s="204">
        <f t="shared" si="2"/>
        <v>0</v>
      </c>
      <c r="M62" s="207">
        <f t="shared" si="3"/>
        <v>0</v>
      </c>
      <c r="N62" s="204">
        <f t="shared" si="4"/>
        <v>20</v>
      </c>
      <c r="O62" s="204">
        <f t="shared" si="5"/>
        <v>0</v>
      </c>
      <c r="P62" s="204">
        <f t="shared" si="6"/>
        <v>20</v>
      </c>
    </row>
    <row r="63" spans="1:16" ht="15">
      <c r="A63" s="199"/>
      <c r="B63" s="199"/>
      <c r="C63" s="200"/>
      <c r="D63" s="154"/>
      <c r="E63" s="201"/>
      <c r="F63" s="202"/>
      <c r="G63" s="203"/>
      <c r="H63" s="204"/>
      <c r="I63" s="205"/>
      <c r="J63" s="206"/>
      <c r="K63" s="207"/>
      <c r="L63" s="204"/>
      <c r="M63" s="207"/>
      <c r="N63" s="204"/>
      <c r="O63" s="204"/>
      <c r="P63" s="204"/>
    </row>
    <row r="64" spans="1:16">
      <c r="A64" s="208"/>
      <c r="B64" s="208"/>
      <c r="C64" s="209" t="s">
        <v>1112</v>
      </c>
      <c r="D64" s="210"/>
      <c r="E64" s="211"/>
      <c r="F64" s="212"/>
      <c r="G64" s="212"/>
      <c r="H64" s="212"/>
      <c r="I64" s="212"/>
      <c r="J64" s="213"/>
      <c r="K64" s="213"/>
      <c r="L64" s="214">
        <f>SUM(L17:L63)</f>
        <v>324.32</v>
      </c>
      <c r="M64" s="214">
        <f t="shared" ref="M64:P64" si="9">SUM(M17:M63)</f>
        <v>1945.87</v>
      </c>
      <c r="N64" s="214">
        <f t="shared" si="9"/>
        <v>5641.54</v>
      </c>
      <c r="O64" s="214">
        <f t="shared" si="9"/>
        <v>112.24</v>
      </c>
      <c r="P64" s="214">
        <f t="shared" si="9"/>
        <v>7699.65</v>
      </c>
    </row>
    <row r="65" spans="1:16" ht="15" customHeight="1">
      <c r="A65" s="215" t="s">
        <v>1113</v>
      </c>
      <c r="B65" s="215"/>
      <c r="C65" s="216"/>
      <c r="D65" s="215"/>
      <c r="E65" s="217"/>
      <c r="F65" s="217"/>
      <c r="G65" s="217"/>
      <c r="H65" s="217"/>
      <c r="I65" s="217"/>
      <c r="J65" s="217"/>
      <c r="K65" s="217"/>
      <c r="L65" s="218"/>
      <c r="M65" s="218"/>
      <c r="N65" s="218"/>
      <c r="O65" s="218"/>
      <c r="P65" s="218"/>
    </row>
    <row r="66" spans="1:16" ht="15.75">
      <c r="A66" s="219"/>
      <c r="B66" s="219"/>
      <c r="C66" s="220"/>
      <c r="D66" s="219"/>
      <c r="E66" s="219"/>
      <c r="F66" s="219"/>
      <c r="G66" s="219"/>
      <c r="H66" s="219"/>
      <c r="I66" s="219"/>
      <c r="J66" s="219"/>
      <c r="K66" s="219"/>
      <c r="L66" s="219"/>
      <c r="M66" s="219"/>
      <c r="N66" s="219"/>
      <c r="O66" s="219"/>
      <c r="P66" s="219"/>
    </row>
    <row r="67" spans="1:16" ht="15">
      <c r="A67" s="219"/>
      <c r="B67" s="219"/>
      <c r="C67" s="219"/>
      <c r="D67" s="219"/>
      <c r="E67" s="219"/>
      <c r="F67" s="219"/>
      <c r="G67" s="219"/>
      <c r="H67" s="219"/>
      <c r="I67" s="219"/>
      <c r="J67" s="219"/>
      <c r="K67" s="219"/>
      <c r="L67" s="219"/>
      <c r="M67" s="219"/>
      <c r="N67" s="219"/>
      <c r="O67" s="219"/>
      <c r="P67" s="219"/>
    </row>
    <row r="68" spans="1:16" ht="15">
      <c r="A68" s="219"/>
      <c r="B68" s="219"/>
      <c r="C68" s="221" t="s">
        <v>1114</v>
      </c>
      <c r="D68" s="221"/>
      <c r="E68" s="221"/>
      <c r="F68" s="221"/>
      <c r="G68" s="222"/>
      <c r="H68" s="223"/>
      <c r="I68" s="223" t="s">
        <v>1115</v>
      </c>
      <c r="J68" s="222" t="s">
        <v>1116</v>
      </c>
      <c r="K68" s="222"/>
      <c r="L68" s="222"/>
      <c r="M68" s="222"/>
      <c r="N68" s="224"/>
      <c r="O68" s="219"/>
      <c r="P68" s="219"/>
    </row>
    <row r="69" spans="1:16" ht="15" customHeight="1">
      <c r="A69" s="219"/>
      <c r="B69" s="219"/>
      <c r="C69" s="225" t="s">
        <v>1097</v>
      </c>
      <c r="D69" s="225"/>
      <c r="E69" s="225"/>
      <c r="F69" s="225"/>
      <c r="G69" s="222"/>
      <c r="H69" s="222"/>
      <c r="I69" s="222"/>
      <c r="J69" s="312" t="s">
        <v>1097</v>
      </c>
      <c r="K69" s="312"/>
      <c r="L69" s="312"/>
      <c r="M69" s="312"/>
      <c r="N69" s="224"/>
      <c r="O69" s="219"/>
      <c r="P69" s="219"/>
    </row>
    <row r="70" spans="1:16" ht="15">
      <c r="A70" s="219"/>
      <c r="B70" s="219"/>
      <c r="C70" s="222" t="s">
        <v>1075</v>
      </c>
      <c r="D70" s="222"/>
      <c r="E70" s="222"/>
      <c r="F70" s="222"/>
      <c r="G70" s="222"/>
      <c r="H70" s="222"/>
      <c r="I70" s="222" t="s">
        <v>1078</v>
      </c>
      <c r="J70" s="222"/>
      <c r="K70" s="222"/>
      <c r="L70" s="222"/>
      <c r="M70" s="222"/>
      <c r="N70" s="224"/>
      <c r="O70" s="219"/>
      <c r="P70" s="219"/>
    </row>
    <row r="71" spans="1:16">
      <c r="A71" s="166"/>
      <c r="B71" s="166"/>
    </row>
    <row r="72" spans="1:16" ht="15" customHeight="1">
      <c r="A72" s="166"/>
      <c r="B72" s="166"/>
    </row>
    <row r="73" spans="1:16" s="157" customFormat="1">
      <c r="A73" s="166"/>
      <c r="B73" s="166"/>
      <c r="C73" s="121"/>
      <c r="D73" s="121"/>
      <c r="E73" s="121"/>
      <c r="F73" s="121"/>
      <c r="G73" s="121"/>
      <c r="H73" s="121"/>
      <c r="I73" s="121"/>
      <c r="J73" s="121"/>
      <c r="K73" s="121"/>
      <c r="L73" s="121"/>
      <c r="M73" s="121"/>
      <c r="N73" s="121"/>
      <c r="O73" s="121"/>
      <c r="P73" s="121"/>
    </row>
    <row r="74" spans="1:16">
      <c r="A74" s="166"/>
      <c r="B74" s="166"/>
    </row>
    <row r="75" spans="1:16">
      <c r="A75" s="166"/>
      <c r="B75" s="166"/>
    </row>
  </sheetData>
  <mergeCells count="15">
    <mergeCell ref="A9:E9"/>
    <mergeCell ref="A2:E2"/>
    <mergeCell ref="A4:E4"/>
    <mergeCell ref="A5:E5"/>
    <mergeCell ref="A7:E7"/>
    <mergeCell ref="A8:E8"/>
    <mergeCell ref="F14:K14"/>
    <mergeCell ref="L14:P14"/>
    <mergeCell ref="J69:M69"/>
    <mergeCell ref="A12:E12"/>
    <mergeCell ref="A14:A15"/>
    <mergeCell ref="C14:C15"/>
    <mergeCell ref="D14:D15"/>
    <mergeCell ref="E14:E15"/>
    <mergeCell ref="B14:B15"/>
  </mergeCells>
  <pageMargins left="1.1000000000000001"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2:P36"/>
  <sheetViews>
    <sheetView showZeros="0" topLeftCell="A10" zoomScale="90" zoomScaleNormal="90" workbookViewId="0">
      <selection activeCell="P28" sqref="P28"/>
    </sheetView>
  </sheetViews>
  <sheetFormatPr defaultColWidth="9.140625" defaultRowHeight="12.75"/>
  <cols>
    <col min="1" max="1" width="9.140625" style="121"/>
    <col min="2" max="2" width="8.28515625" style="121" customWidth="1"/>
    <col min="3" max="3" width="55.140625" style="121" customWidth="1"/>
    <col min="4" max="4" width="11.140625" style="121" bestFit="1" customWidth="1"/>
    <col min="5" max="5" width="10.42578125" style="121" customWidth="1"/>
    <col min="6" max="16384" width="9.140625" style="121"/>
  </cols>
  <sheetData>
    <row r="2" spans="1:16">
      <c r="A2" s="313" t="s">
        <v>395</v>
      </c>
      <c r="B2" s="313"/>
      <c r="C2" s="313"/>
      <c r="D2" s="313"/>
      <c r="E2" s="313"/>
      <c r="F2" s="158"/>
    </row>
    <row r="3" spans="1:16">
      <c r="A3" s="122"/>
      <c r="B3" s="122"/>
      <c r="C3" s="122"/>
      <c r="D3" s="122"/>
      <c r="E3" s="122"/>
      <c r="F3" s="158"/>
    </row>
    <row r="4" spans="1:16">
      <c r="A4" s="314" t="s">
        <v>396</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397</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465</v>
      </c>
      <c r="B16" s="126"/>
      <c r="C16" s="7" t="s">
        <v>396</v>
      </c>
      <c r="D16" s="10"/>
      <c r="E16" s="10"/>
      <c r="F16" s="226"/>
      <c r="G16" s="227"/>
      <c r="H16" s="227"/>
      <c r="I16" s="227"/>
      <c r="J16" s="227"/>
      <c r="K16" s="227"/>
      <c r="L16" s="227"/>
      <c r="M16" s="227"/>
      <c r="N16" s="227"/>
      <c r="O16" s="227"/>
      <c r="P16" s="227"/>
    </row>
    <row r="17" spans="1:16">
      <c r="A17" s="129" t="s">
        <v>466</v>
      </c>
      <c r="B17" s="129"/>
      <c r="C17" s="23" t="s">
        <v>457</v>
      </c>
      <c r="D17" s="153" t="s">
        <v>0</v>
      </c>
      <c r="E17" s="163">
        <v>615</v>
      </c>
      <c r="F17" s="202">
        <v>0.4</v>
      </c>
      <c r="G17" s="203">
        <v>6</v>
      </c>
      <c r="H17" s="204">
        <f t="shared" ref="H17:H23" si="0">ROUND(G17*F17,2)</f>
        <v>2.4</v>
      </c>
      <c r="I17" s="205">
        <v>0.47</v>
      </c>
      <c r="J17" s="206">
        <v>0.1</v>
      </c>
      <c r="K17" s="207">
        <f t="shared" ref="K17:K23" si="1">SUM(H17:J17)</f>
        <v>2.97</v>
      </c>
      <c r="L17" s="204">
        <f t="shared" ref="L17:L23" si="2">ROUND(F17*E17,2)</f>
        <v>246</v>
      </c>
      <c r="M17" s="207">
        <f t="shared" ref="M17:M23" si="3">ROUND(H17*E17,2)</f>
        <v>1476</v>
      </c>
      <c r="N17" s="204">
        <f t="shared" ref="N17:N23" si="4">ROUND(I17*E17,2)</f>
        <v>289.05</v>
      </c>
      <c r="O17" s="204">
        <f t="shared" ref="O17:O23" si="5">ROUND(J17*E17,2)</f>
        <v>61.5</v>
      </c>
      <c r="P17" s="204">
        <f t="shared" ref="P17:P23" si="6">SUM(M17:O17)</f>
        <v>1826.55</v>
      </c>
    </row>
    <row r="18" spans="1:16">
      <c r="A18" s="129" t="s">
        <v>467</v>
      </c>
      <c r="B18" s="129"/>
      <c r="C18" s="23" t="s">
        <v>458</v>
      </c>
      <c r="D18" s="153" t="s">
        <v>459</v>
      </c>
      <c r="E18" s="163">
        <v>1</v>
      </c>
      <c r="F18" s="202">
        <v>10</v>
      </c>
      <c r="G18" s="203">
        <v>6</v>
      </c>
      <c r="H18" s="204">
        <f t="shared" si="0"/>
        <v>60</v>
      </c>
      <c r="I18" s="205">
        <v>180</v>
      </c>
      <c r="J18" s="206">
        <v>2</v>
      </c>
      <c r="K18" s="207">
        <f t="shared" si="1"/>
        <v>242</v>
      </c>
      <c r="L18" s="204">
        <f t="shared" si="2"/>
        <v>10</v>
      </c>
      <c r="M18" s="207">
        <f t="shared" si="3"/>
        <v>60</v>
      </c>
      <c r="N18" s="204">
        <f t="shared" si="4"/>
        <v>180</v>
      </c>
      <c r="O18" s="204">
        <f t="shared" si="5"/>
        <v>2</v>
      </c>
      <c r="P18" s="204">
        <f t="shared" si="6"/>
        <v>242</v>
      </c>
    </row>
    <row r="19" spans="1:16">
      <c r="A19" s="129" t="s">
        <v>468</v>
      </c>
      <c r="B19" s="129"/>
      <c r="C19" s="23" t="s">
        <v>460</v>
      </c>
      <c r="D19" s="153" t="s">
        <v>459</v>
      </c>
      <c r="E19" s="163">
        <v>1</v>
      </c>
      <c r="F19" s="202">
        <v>5</v>
      </c>
      <c r="G19" s="203">
        <v>6</v>
      </c>
      <c r="H19" s="204">
        <f t="shared" si="0"/>
        <v>30</v>
      </c>
      <c r="I19" s="205">
        <v>22</v>
      </c>
      <c r="J19" s="206">
        <v>2</v>
      </c>
      <c r="K19" s="207">
        <f t="shared" si="1"/>
        <v>54</v>
      </c>
      <c r="L19" s="204">
        <f t="shared" si="2"/>
        <v>5</v>
      </c>
      <c r="M19" s="207">
        <f t="shared" si="3"/>
        <v>30</v>
      </c>
      <c r="N19" s="204">
        <f t="shared" si="4"/>
        <v>22</v>
      </c>
      <c r="O19" s="204">
        <f t="shared" si="5"/>
        <v>2</v>
      </c>
      <c r="P19" s="204">
        <f t="shared" si="6"/>
        <v>54</v>
      </c>
    </row>
    <row r="20" spans="1:16">
      <c r="A20" s="129" t="s">
        <v>469</v>
      </c>
      <c r="B20" s="129"/>
      <c r="C20" s="23" t="s">
        <v>461</v>
      </c>
      <c r="D20" s="153" t="s">
        <v>459</v>
      </c>
      <c r="E20" s="163">
        <v>1</v>
      </c>
      <c r="F20" s="202">
        <v>6</v>
      </c>
      <c r="G20" s="203">
        <v>6</v>
      </c>
      <c r="H20" s="204">
        <f t="shared" si="0"/>
        <v>36</v>
      </c>
      <c r="I20" s="205">
        <v>126</v>
      </c>
      <c r="J20" s="206">
        <v>2</v>
      </c>
      <c r="K20" s="207">
        <f t="shared" si="1"/>
        <v>164</v>
      </c>
      <c r="L20" s="204">
        <f t="shared" si="2"/>
        <v>6</v>
      </c>
      <c r="M20" s="207">
        <f t="shared" si="3"/>
        <v>36</v>
      </c>
      <c r="N20" s="204">
        <f t="shared" si="4"/>
        <v>126</v>
      </c>
      <c r="O20" s="204">
        <f t="shared" si="5"/>
        <v>2</v>
      </c>
      <c r="P20" s="204">
        <f t="shared" si="6"/>
        <v>164</v>
      </c>
    </row>
    <row r="21" spans="1:16">
      <c r="A21" s="129" t="s">
        <v>470</v>
      </c>
      <c r="B21" s="129"/>
      <c r="C21" s="23" t="s">
        <v>462</v>
      </c>
      <c r="D21" s="153" t="s">
        <v>459</v>
      </c>
      <c r="E21" s="163">
        <v>1</v>
      </c>
      <c r="F21" s="202">
        <v>10</v>
      </c>
      <c r="G21" s="203">
        <v>6</v>
      </c>
      <c r="H21" s="204">
        <f t="shared" si="0"/>
        <v>60</v>
      </c>
      <c r="I21" s="205">
        <v>168</v>
      </c>
      <c r="J21" s="206">
        <v>2</v>
      </c>
      <c r="K21" s="207">
        <f t="shared" si="1"/>
        <v>230</v>
      </c>
      <c r="L21" s="204">
        <f t="shared" si="2"/>
        <v>10</v>
      </c>
      <c r="M21" s="207">
        <f t="shared" si="3"/>
        <v>60</v>
      </c>
      <c r="N21" s="204">
        <f t="shared" si="4"/>
        <v>168</v>
      </c>
      <c r="O21" s="204">
        <f t="shared" si="5"/>
        <v>2</v>
      </c>
      <c r="P21" s="204">
        <f t="shared" si="6"/>
        <v>230</v>
      </c>
    </row>
    <row r="22" spans="1:16">
      <c r="A22" s="129" t="s">
        <v>471</v>
      </c>
      <c r="B22" s="129"/>
      <c r="C22" s="23" t="s">
        <v>463</v>
      </c>
      <c r="D22" s="153" t="s">
        <v>464</v>
      </c>
      <c r="E22" s="163">
        <v>1</v>
      </c>
      <c r="F22" s="202"/>
      <c r="G22" s="203">
        <v>6</v>
      </c>
      <c r="H22" s="204">
        <f t="shared" si="0"/>
        <v>0</v>
      </c>
      <c r="I22" s="205">
        <v>100</v>
      </c>
      <c r="J22" s="206"/>
      <c r="K22" s="207">
        <f t="shared" si="1"/>
        <v>100</v>
      </c>
      <c r="L22" s="204">
        <f t="shared" si="2"/>
        <v>0</v>
      </c>
      <c r="M22" s="207">
        <f t="shared" si="3"/>
        <v>0</v>
      </c>
      <c r="N22" s="204">
        <f t="shared" si="4"/>
        <v>100</v>
      </c>
      <c r="O22" s="204">
        <f t="shared" si="5"/>
        <v>0</v>
      </c>
      <c r="P22" s="204">
        <f t="shared" si="6"/>
        <v>100</v>
      </c>
    </row>
    <row r="23" spans="1:16" s="166" customFormat="1" ht="38.25">
      <c r="A23" s="146" t="s">
        <v>1047</v>
      </c>
      <c r="B23" s="146"/>
      <c r="C23" s="45" t="s">
        <v>1046</v>
      </c>
      <c r="D23" s="164" t="s">
        <v>0</v>
      </c>
      <c r="E23" s="165">
        <v>59</v>
      </c>
      <c r="F23" s="202">
        <f>3/5</f>
        <v>0.6</v>
      </c>
      <c r="G23" s="203">
        <v>6</v>
      </c>
      <c r="H23" s="204">
        <f t="shared" si="0"/>
        <v>3.6</v>
      </c>
      <c r="I23" s="205">
        <v>1.6</v>
      </c>
      <c r="J23" s="206">
        <v>0.2</v>
      </c>
      <c r="K23" s="207">
        <f t="shared" si="1"/>
        <v>5.4</v>
      </c>
      <c r="L23" s="204">
        <f t="shared" si="2"/>
        <v>35.4</v>
      </c>
      <c r="M23" s="207">
        <f t="shared" si="3"/>
        <v>212.4</v>
      </c>
      <c r="N23" s="204">
        <f t="shared" si="4"/>
        <v>94.4</v>
      </c>
      <c r="O23" s="204">
        <f t="shared" si="5"/>
        <v>11.8</v>
      </c>
      <c r="P23" s="204">
        <f t="shared" si="6"/>
        <v>318.60000000000002</v>
      </c>
    </row>
    <row r="24" spans="1:16" ht="15">
      <c r="A24" s="199"/>
      <c r="B24" s="199"/>
      <c r="C24" s="200"/>
      <c r="D24" s="154"/>
      <c r="E24" s="201"/>
      <c r="F24" s="202"/>
      <c r="G24" s="203"/>
      <c r="H24" s="204"/>
      <c r="I24" s="205"/>
      <c r="J24" s="206"/>
      <c r="K24" s="207"/>
      <c r="L24" s="204"/>
      <c r="M24" s="207"/>
      <c r="N24" s="204"/>
      <c r="O24" s="204"/>
      <c r="P24" s="204"/>
    </row>
    <row r="25" spans="1:16">
      <c r="A25" s="208"/>
      <c r="B25" s="208"/>
      <c r="C25" s="209" t="s">
        <v>1112</v>
      </c>
      <c r="D25" s="210"/>
      <c r="E25" s="211"/>
      <c r="F25" s="212"/>
      <c r="G25" s="212"/>
      <c r="H25" s="212"/>
      <c r="I25" s="212"/>
      <c r="J25" s="213"/>
      <c r="K25" s="213"/>
      <c r="L25" s="214">
        <f>SUM(L17:L24)</f>
        <v>312.39999999999998</v>
      </c>
      <c r="M25" s="214">
        <f t="shared" ref="M25:P25" si="7">SUM(M17:M24)</f>
        <v>1874.4</v>
      </c>
      <c r="N25" s="214">
        <f t="shared" si="7"/>
        <v>979.45</v>
      </c>
      <c r="O25" s="214">
        <f t="shared" si="7"/>
        <v>81.3</v>
      </c>
      <c r="P25" s="214">
        <f t="shared" si="7"/>
        <v>2935.15</v>
      </c>
    </row>
    <row r="26" spans="1:16" ht="15" customHeight="1">
      <c r="A26" s="215" t="s">
        <v>1113</v>
      </c>
      <c r="B26" s="215"/>
      <c r="C26" s="216"/>
      <c r="D26" s="215"/>
      <c r="E26" s="217"/>
      <c r="F26" s="217"/>
      <c r="G26" s="217"/>
      <c r="H26" s="217"/>
      <c r="I26" s="217"/>
      <c r="J26" s="217"/>
      <c r="K26" s="217"/>
      <c r="L26" s="218"/>
      <c r="M26" s="218"/>
      <c r="N26" s="218"/>
      <c r="O26" s="218"/>
      <c r="P26" s="218"/>
    </row>
    <row r="27" spans="1:16" ht="15.75">
      <c r="A27" s="219"/>
      <c r="B27" s="219"/>
      <c r="C27" s="220"/>
      <c r="D27" s="219"/>
      <c r="E27" s="219"/>
      <c r="F27" s="219"/>
      <c r="G27" s="219"/>
      <c r="H27" s="219"/>
      <c r="I27" s="219"/>
      <c r="J27" s="219"/>
      <c r="K27" s="219"/>
      <c r="L27" s="219"/>
      <c r="M27" s="219"/>
      <c r="N27" s="219"/>
      <c r="O27" s="219"/>
      <c r="P27" s="219"/>
    </row>
    <row r="28" spans="1:16" ht="15">
      <c r="A28" s="219"/>
      <c r="B28" s="219"/>
      <c r="C28" s="219"/>
      <c r="D28" s="219"/>
      <c r="E28" s="219"/>
      <c r="F28" s="219"/>
      <c r="G28" s="219"/>
      <c r="H28" s="219"/>
      <c r="I28" s="219"/>
      <c r="J28" s="219"/>
      <c r="K28" s="219"/>
      <c r="L28" s="219"/>
      <c r="M28" s="219"/>
      <c r="N28" s="219"/>
      <c r="O28" s="219"/>
      <c r="P28" s="219"/>
    </row>
    <row r="29" spans="1:16" ht="15">
      <c r="A29" s="219"/>
      <c r="B29" s="219"/>
      <c r="C29" s="221" t="s">
        <v>1114</v>
      </c>
      <c r="D29" s="221"/>
      <c r="E29" s="221"/>
      <c r="F29" s="221"/>
      <c r="G29" s="222"/>
      <c r="H29" s="223"/>
      <c r="I29" s="223" t="s">
        <v>1115</v>
      </c>
      <c r="J29" s="222" t="s">
        <v>1116</v>
      </c>
      <c r="K29" s="222"/>
      <c r="L29" s="222"/>
      <c r="M29" s="222"/>
      <c r="N29" s="224"/>
      <c r="O29" s="219"/>
      <c r="P29" s="219"/>
    </row>
    <row r="30" spans="1:16" ht="15" customHeight="1">
      <c r="A30" s="219"/>
      <c r="B30" s="219"/>
      <c r="C30" s="225" t="s">
        <v>1097</v>
      </c>
      <c r="D30" s="225"/>
      <c r="E30" s="225"/>
      <c r="F30" s="225"/>
      <c r="G30" s="222"/>
      <c r="H30" s="222"/>
      <c r="I30" s="222"/>
      <c r="J30" s="312" t="s">
        <v>1097</v>
      </c>
      <c r="K30" s="312"/>
      <c r="L30" s="312"/>
      <c r="M30" s="312"/>
      <c r="N30" s="224"/>
      <c r="O30" s="219"/>
      <c r="P30" s="219"/>
    </row>
    <row r="31" spans="1:16" ht="15">
      <c r="A31" s="219"/>
      <c r="B31" s="219"/>
      <c r="C31" s="222" t="s">
        <v>1075</v>
      </c>
      <c r="D31" s="222"/>
      <c r="E31" s="222"/>
      <c r="F31" s="222"/>
      <c r="G31" s="222"/>
      <c r="H31" s="222"/>
      <c r="I31" s="222" t="s">
        <v>1078</v>
      </c>
      <c r="J31" s="222"/>
      <c r="K31" s="222"/>
      <c r="L31" s="222"/>
      <c r="M31" s="222"/>
      <c r="N31" s="224"/>
      <c r="O31" s="219"/>
      <c r="P31" s="219"/>
    </row>
    <row r="32" spans="1:16">
      <c r="A32" s="166"/>
      <c r="B32" s="166"/>
    </row>
    <row r="33" spans="1:16" ht="15" customHeight="1">
      <c r="A33" s="166"/>
      <c r="B33" s="166"/>
    </row>
    <row r="34" spans="1:16" s="157" customFormat="1">
      <c r="A34" s="166"/>
      <c r="B34" s="166"/>
      <c r="C34" s="121"/>
      <c r="D34" s="121"/>
      <c r="E34" s="121"/>
      <c r="F34" s="121"/>
      <c r="G34" s="121"/>
      <c r="H34" s="121"/>
      <c r="I34" s="121"/>
      <c r="J34" s="121"/>
      <c r="K34" s="121"/>
      <c r="L34" s="121"/>
      <c r="M34" s="121"/>
      <c r="N34" s="121"/>
      <c r="O34" s="121"/>
      <c r="P34" s="121"/>
    </row>
    <row r="35" spans="1:16">
      <c r="A35" s="166"/>
      <c r="B35" s="166"/>
    </row>
    <row r="36" spans="1:16">
      <c r="A36" s="166"/>
      <c r="B36" s="166"/>
    </row>
  </sheetData>
  <mergeCells count="15">
    <mergeCell ref="A9:E9"/>
    <mergeCell ref="A2:E2"/>
    <mergeCell ref="A4:E4"/>
    <mergeCell ref="A5:E5"/>
    <mergeCell ref="A7:E7"/>
    <mergeCell ref="A8:E8"/>
    <mergeCell ref="F14:K14"/>
    <mergeCell ref="L14:P14"/>
    <mergeCell ref="J30:M30"/>
    <mergeCell ref="A12:E12"/>
    <mergeCell ref="A14:A15"/>
    <mergeCell ref="C14:C15"/>
    <mergeCell ref="D14:D15"/>
    <mergeCell ref="E14:E15"/>
    <mergeCell ref="B14:B15"/>
  </mergeCells>
  <pageMargins left="1.07" right="0.70866141732283472" top="0.74803149606299213" bottom="0.74803149606299213" header="0.31496062992125984" footer="0.31496062992125984"/>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P61"/>
  <sheetViews>
    <sheetView showZeros="0" topLeftCell="A27" zoomScale="90" zoomScaleNormal="90" workbookViewId="0">
      <selection activeCell="P53" sqref="P53"/>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5" width="9.140625" style="121"/>
    <col min="16" max="16" width="10" style="121" customWidth="1"/>
    <col min="17" max="16384" width="9.140625" style="121"/>
  </cols>
  <sheetData>
    <row r="2" spans="1:16">
      <c r="A2" s="313" t="s">
        <v>398</v>
      </c>
      <c r="B2" s="313"/>
      <c r="C2" s="313"/>
      <c r="D2" s="313"/>
      <c r="E2" s="313"/>
      <c r="F2" s="158"/>
    </row>
    <row r="3" spans="1:16">
      <c r="A3" s="122"/>
      <c r="B3" s="122"/>
      <c r="C3" s="122"/>
      <c r="D3" s="122"/>
      <c r="E3" s="122"/>
      <c r="F3" s="158"/>
    </row>
    <row r="4" spans="1:16">
      <c r="A4" s="314" t="s">
        <v>399</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400</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424</v>
      </c>
      <c r="B16" s="126"/>
      <c r="C16" s="16" t="s">
        <v>38</v>
      </c>
      <c r="D16" s="21"/>
      <c r="E16" s="10"/>
      <c r="F16" s="226"/>
      <c r="G16" s="227"/>
      <c r="H16" s="227"/>
      <c r="I16" s="227"/>
      <c r="J16" s="227"/>
      <c r="K16" s="227"/>
      <c r="L16" s="227"/>
      <c r="M16" s="227"/>
      <c r="N16" s="227"/>
      <c r="O16" s="227"/>
      <c r="P16" s="227"/>
    </row>
    <row r="17" spans="1:16">
      <c r="A17" s="129" t="s">
        <v>425</v>
      </c>
      <c r="B17" s="129"/>
      <c r="C17" s="3" t="s">
        <v>39</v>
      </c>
      <c r="D17" s="21" t="s">
        <v>34</v>
      </c>
      <c r="E17" s="160">
        <v>1</v>
      </c>
      <c r="F17" s="202">
        <v>10</v>
      </c>
      <c r="G17" s="203">
        <v>6</v>
      </c>
      <c r="H17" s="204">
        <f t="shared" ref="H17:H48" si="0">ROUND(G17*F17,2)</f>
        <v>60</v>
      </c>
      <c r="I17" s="205"/>
      <c r="J17" s="206">
        <v>10</v>
      </c>
      <c r="K17" s="207">
        <f t="shared" ref="K17:K48" si="1">SUM(H17:J17)</f>
        <v>70</v>
      </c>
      <c r="L17" s="204">
        <f t="shared" ref="L17:L48" si="2">ROUND(F17*E17,2)</f>
        <v>10</v>
      </c>
      <c r="M17" s="207">
        <f t="shared" ref="M17:M48" si="3">ROUND(H17*E17,2)</f>
        <v>60</v>
      </c>
      <c r="N17" s="204">
        <f t="shared" ref="N17:N48" si="4">ROUND(I17*E17,2)</f>
        <v>0</v>
      </c>
      <c r="O17" s="204">
        <f t="shared" ref="O17:O48" si="5">ROUND(J17*E17,2)</f>
        <v>10</v>
      </c>
      <c r="P17" s="204">
        <f t="shared" ref="P17:P48" si="6">SUM(M17:O17)</f>
        <v>70</v>
      </c>
    </row>
    <row r="18" spans="1:16">
      <c r="A18" s="129" t="s">
        <v>426</v>
      </c>
      <c r="B18" s="129"/>
      <c r="C18" s="3" t="s">
        <v>40</v>
      </c>
      <c r="D18" s="21" t="s">
        <v>34</v>
      </c>
      <c r="E18" s="161">
        <v>1</v>
      </c>
      <c r="F18" s="202">
        <v>2</v>
      </c>
      <c r="G18" s="203">
        <v>6</v>
      </c>
      <c r="H18" s="204">
        <f t="shared" si="0"/>
        <v>12</v>
      </c>
      <c r="I18" s="205"/>
      <c r="J18" s="206">
        <v>5</v>
      </c>
      <c r="K18" s="207">
        <f t="shared" si="1"/>
        <v>17</v>
      </c>
      <c r="L18" s="204">
        <f t="shared" si="2"/>
        <v>2</v>
      </c>
      <c r="M18" s="207">
        <f t="shared" si="3"/>
        <v>12</v>
      </c>
      <c r="N18" s="204">
        <f t="shared" si="4"/>
        <v>0</v>
      </c>
      <c r="O18" s="204">
        <f t="shared" si="5"/>
        <v>5</v>
      </c>
      <c r="P18" s="204">
        <f t="shared" si="6"/>
        <v>17</v>
      </c>
    </row>
    <row r="19" spans="1:16">
      <c r="A19" s="129" t="s">
        <v>427</v>
      </c>
      <c r="B19" s="129"/>
      <c r="C19" s="3" t="s">
        <v>41</v>
      </c>
      <c r="D19" s="21" t="s">
        <v>34</v>
      </c>
      <c r="E19" s="161">
        <v>1</v>
      </c>
      <c r="F19" s="202">
        <v>10</v>
      </c>
      <c r="G19" s="203">
        <v>6</v>
      </c>
      <c r="H19" s="204">
        <f t="shared" si="0"/>
        <v>60</v>
      </c>
      <c r="I19" s="205">
        <v>50</v>
      </c>
      <c r="J19" s="206">
        <v>20</v>
      </c>
      <c r="K19" s="207">
        <f t="shared" si="1"/>
        <v>130</v>
      </c>
      <c r="L19" s="204">
        <f t="shared" si="2"/>
        <v>10</v>
      </c>
      <c r="M19" s="207">
        <f t="shared" si="3"/>
        <v>60</v>
      </c>
      <c r="N19" s="204">
        <f t="shared" si="4"/>
        <v>50</v>
      </c>
      <c r="O19" s="204">
        <f t="shared" si="5"/>
        <v>20</v>
      </c>
      <c r="P19" s="204">
        <f t="shared" si="6"/>
        <v>130</v>
      </c>
    </row>
    <row r="20" spans="1:16">
      <c r="A20" s="129" t="s">
        <v>428</v>
      </c>
      <c r="B20" s="129"/>
      <c r="C20" s="8" t="s">
        <v>42</v>
      </c>
      <c r="D20" s="21" t="s">
        <v>34</v>
      </c>
      <c r="E20" s="162">
        <v>1</v>
      </c>
      <c r="F20" s="202">
        <f>200/5</f>
        <v>40</v>
      </c>
      <c r="G20" s="203">
        <v>6</v>
      </c>
      <c r="H20" s="204">
        <f t="shared" si="0"/>
        <v>240</v>
      </c>
      <c r="I20" s="205"/>
      <c r="J20" s="206">
        <v>300</v>
      </c>
      <c r="K20" s="207">
        <f t="shared" si="1"/>
        <v>540</v>
      </c>
      <c r="L20" s="204">
        <f t="shared" si="2"/>
        <v>40</v>
      </c>
      <c r="M20" s="207">
        <f t="shared" si="3"/>
        <v>240</v>
      </c>
      <c r="N20" s="204">
        <f t="shared" si="4"/>
        <v>0</v>
      </c>
      <c r="O20" s="204">
        <f t="shared" si="5"/>
        <v>300</v>
      </c>
      <c r="P20" s="204">
        <f t="shared" si="6"/>
        <v>540</v>
      </c>
    </row>
    <row r="21" spans="1:16" ht="41.25">
      <c r="A21" s="129" t="s">
        <v>429</v>
      </c>
      <c r="B21" s="129"/>
      <c r="C21" s="8" t="s">
        <v>401</v>
      </c>
      <c r="D21" s="15" t="s">
        <v>106</v>
      </c>
      <c r="E21" s="162">
        <v>5</v>
      </c>
      <c r="F21" s="202">
        <f>3/5</f>
        <v>0.6</v>
      </c>
      <c r="G21" s="203">
        <v>6</v>
      </c>
      <c r="H21" s="204">
        <f t="shared" si="0"/>
        <v>3.6</v>
      </c>
      <c r="I21" s="205"/>
      <c r="J21" s="206">
        <v>2</v>
      </c>
      <c r="K21" s="207">
        <f t="shared" si="1"/>
        <v>5.6</v>
      </c>
      <c r="L21" s="204">
        <f t="shared" si="2"/>
        <v>3</v>
      </c>
      <c r="M21" s="207">
        <f t="shared" si="3"/>
        <v>18</v>
      </c>
      <c r="N21" s="204">
        <f t="shared" si="4"/>
        <v>0</v>
      </c>
      <c r="O21" s="204">
        <f t="shared" si="5"/>
        <v>10</v>
      </c>
      <c r="P21" s="204">
        <f t="shared" si="6"/>
        <v>28</v>
      </c>
    </row>
    <row r="22" spans="1:16" ht="28.5">
      <c r="A22" s="129" t="s">
        <v>430</v>
      </c>
      <c r="B22" s="129"/>
      <c r="C22" s="8" t="s">
        <v>402</v>
      </c>
      <c r="D22" s="15" t="s">
        <v>112</v>
      </c>
      <c r="E22" s="162">
        <f>ROUND(345.45*1.15*0.15,1)</f>
        <v>59.6</v>
      </c>
      <c r="F22" s="202">
        <v>0.1</v>
      </c>
      <c r="G22" s="203">
        <v>6</v>
      </c>
      <c r="H22" s="204">
        <f t="shared" si="0"/>
        <v>0.6</v>
      </c>
      <c r="I22" s="205"/>
      <c r="J22" s="206">
        <v>3</v>
      </c>
      <c r="K22" s="207">
        <f t="shared" si="1"/>
        <v>3.6</v>
      </c>
      <c r="L22" s="204">
        <f t="shared" si="2"/>
        <v>5.96</v>
      </c>
      <c r="M22" s="207">
        <f t="shared" si="3"/>
        <v>35.76</v>
      </c>
      <c r="N22" s="204">
        <f t="shared" si="4"/>
        <v>0</v>
      </c>
      <c r="O22" s="204">
        <f t="shared" si="5"/>
        <v>178.8</v>
      </c>
      <c r="P22" s="204">
        <f t="shared" si="6"/>
        <v>214.56</v>
      </c>
    </row>
    <row r="23" spans="1:16" ht="38.25">
      <c r="A23" s="129" t="s">
        <v>431</v>
      </c>
      <c r="B23" s="129"/>
      <c r="C23" s="8" t="s">
        <v>403</v>
      </c>
      <c r="D23" s="15" t="s">
        <v>18</v>
      </c>
      <c r="E23" s="162">
        <v>2</v>
      </c>
      <c r="F23" s="202">
        <v>10</v>
      </c>
      <c r="G23" s="203">
        <v>6</v>
      </c>
      <c r="H23" s="204">
        <f t="shared" si="0"/>
        <v>60</v>
      </c>
      <c r="I23" s="205"/>
      <c r="J23" s="206">
        <v>10</v>
      </c>
      <c r="K23" s="207">
        <f t="shared" si="1"/>
        <v>70</v>
      </c>
      <c r="L23" s="204">
        <f t="shared" si="2"/>
        <v>20</v>
      </c>
      <c r="M23" s="207">
        <f t="shared" si="3"/>
        <v>120</v>
      </c>
      <c r="N23" s="204">
        <f t="shared" si="4"/>
        <v>0</v>
      </c>
      <c r="O23" s="204">
        <f t="shared" si="5"/>
        <v>20</v>
      </c>
      <c r="P23" s="204">
        <f t="shared" si="6"/>
        <v>140</v>
      </c>
    </row>
    <row r="24" spans="1:16" ht="28.5">
      <c r="A24" s="129" t="s">
        <v>432</v>
      </c>
      <c r="B24" s="129"/>
      <c r="C24" s="8" t="s">
        <v>404</v>
      </c>
      <c r="D24" s="15" t="s">
        <v>18</v>
      </c>
      <c r="E24" s="162">
        <v>2</v>
      </c>
      <c r="F24" s="202">
        <v>3</v>
      </c>
      <c r="G24" s="203">
        <v>6</v>
      </c>
      <c r="H24" s="204">
        <f t="shared" si="0"/>
        <v>18</v>
      </c>
      <c r="I24" s="205"/>
      <c r="J24" s="206">
        <v>5</v>
      </c>
      <c r="K24" s="207">
        <f t="shared" si="1"/>
        <v>23</v>
      </c>
      <c r="L24" s="204">
        <f t="shared" si="2"/>
        <v>6</v>
      </c>
      <c r="M24" s="207">
        <f t="shared" si="3"/>
        <v>36</v>
      </c>
      <c r="N24" s="204">
        <f t="shared" si="4"/>
        <v>0</v>
      </c>
      <c r="O24" s="204">
        <f t="shared" si="5"/>
        <v>10</v>
      </c>
      <c r="P24" s="204">
        <f t="shared" si="6"/>
        <v>46</v>
      </c>
    </row>
    <row r="25" spans="1:16">
      <c r="A25" s="126" t="s">
        <v>433</v>
      </c>
      <c r="B25" s="126"/>
      <c r="C25" s="16" t="s">
        <v>405</v>
      </c>
      <c r="D25" s="21"/>
      <c r="E25" s="10"/>
      <c r="F25" s="202"/>
      <c r="G25" s="203">
        <v>6</v>
      </c>
      <c r="H25" s="204">
        <f t="shared" si="0"/>
        <v>0</v>
      </c>
      <c r="I25" s="205"/>
      <c r="J25" s="206"/>
      <c r="K25" s="207">
        <f t="shared" si="1"/>
        <v>0</v>
      </c>
      <c r="L25" s="204">
        <f t="shared" si="2"/>
        <v>0</v>
      </c>
      <c r="M25" s="207">
        <f t="shared" si="3"/>
        <v>0</v>
      </c>
      <c r="N25" s="204">
        <f t="shared" si="4"/>
        <v>0</v>
      </c>
      <c r="O25" s="204">
        <f t="shared" si="5"/>
        <v>0</v>
      </c>
      <c r="P25" s="204">
        <f t="shared" si="6"/>
        <v>0</v>
      </c>
    </row>
    <row r="26" spans="1:16" ht="25.5">
      <c r="A26" s="129" t="s">
        <v>434</v>
      </c>
      <c r="B26" s="129"/>
      <c r="C26" s="3" t="s">
        <v>406</v>
      </c>
      <c r="D26" s="15" t="s">
        <v>43</v>
      </c>
      <c r="E26" s="162">
        <v>30</v>
      </c>
      <c r="F26" s="202">
        <v>1</v>
      </c>
      <c r="G26" s="203">
        <v>6</v>
      </c>
      <c r="H26" s="204">
        <f t="shared" si="0"/>
        <v>6</v>
      </c>
      <c r="I26" s="205">
        <v>9.6999999999999993</v>
      </c>
      <c r="J26" s="206">
        <v>0.2</v>
      </c>
      <c r="K26" s="207">
        <f t="shared" si="1"/>
        <v>15.9</v>
      </c>
      <c r="L26" s="204">
        <f t="shared" si="2"/>
        <v>30</v>
      </c>
      <c r="M26" s="207">
        <f t="shared" si="3"/>
        <v>180</v>
      </c>
      <c r="N26" s="204">
        <f t="shared" si="4"/>
        <v>291</v>
      </c>
      <c r="O26" s="204">
        <f t="shared" si="5"/>
        <v>6</v>
      </c>
      <c r="P26" s="204">
        <f t="shared" si="6"/>
        <v>477</v>
      </c>
    </row>
    <row r="27" spans="1:16">
      <c r="A27" s="126" t="s">
        <v>435</v>
      </c>
      <c r="B27" s="126"/>
      <c r="C27" s="16" t="s">
        <v>44</v>
      </c>
      <c r="D27" s="21"/>
      <c r="E27" s="10"/>
      <c r="F27" s="202"/>
      <c r="G27" s="203">
        <v>6</v>
      </c>
      <c r="H27" s="204">
        <f t="shared" si="0"/>
        <v>0</v>
      </c>
      <c r="I27" s="205"/>
      <c r="J27" s="206"/>
      <c r="K27" s="207">
        <f t="shared" si="1"/>
        <v>0</v>
      </c>
      <c r="L27" s="204">
        <f t="shared" si="2"/>
        <v>0</v>
      </c>
      <c r="M27" s="207">
        <f t="shared" si="3"/>
        <v>0</v>
      </c>
      <c r="N27" s="204">
        <f t="shared" si="4"/>
        <v>0</v>
      </c>
      <c r="O27" s="204">
        <f t="shared" si="5"/>
        <v>0</v>
      </c>
      <c r="P27" s="204">
        <f t="shared" si="6"/>
        <v>0</v>
      </c>
    </row>
    <row r="28" spans="1:16" ht="25.5">
      <c r="A28" s="129" t="s">
        <v>436</v>
      </c>
      <c r="B28" s="129"/>
      <c r="C28" s="8" t="s">
        <v>407</v>
      </c>
      <c r="D28" s="15" t="s">
        <v>112</v>
      </c>
      <c r="E28" s="162">
        <f>ROUND(289.3*0.2*1.1,1)</f>
        <v>63.6</v>
      </c>
      <c r="F28" s="202">
        <v>0.1</v>
      </c>
      <c r="G28" s="203">
        <v>6</v>
      </c>
      <c r="H28" s="204">
        <f t="shared" si="0"/>
        <v>0.6</v>
      </c>
      <c r="I28" s="205"/>
      <c r="J28" s="206">
        <v>5</v>
      </c>
      <c r="K28" s="207">
        <f t="shared" si="1"/>
        <v>5.6</v>
      </c>
      <c r="L28" s="204">
        <f t="shared" si="2"/>
        <v>6.36</v>
      </c>
      <c r="M28" s="207">
        <f t="shared" si="3"/>
        <v>38.159999999999997</v>
      </c>
      <c r="N28" s="204">
        <f t="shared" si="4"/>
        <v>0</v>
      </c>
      <c r="O28" s="204">
        <f t="shared" si="5"/>
        <v>318</v>
      </c>
      <c r="P28" s="204">
        <f t="shared" si="6"/>
        <v>356.16</v>
      </c>
    </row>
    <row r="29" spans="1:16" ht="25.5">
      <c r="A29" s="129" t="s">
        <v>437</v>
      </c>
      <c r="B29" s="129"/>
      <c r="C29" s="8" t="s">
        <v>408</v>
      </c>
      <c r="D29" s="15" t="s">
        <v>112</v>
      </c>
      <c r="E29" s="162">
        <f>ROUND(104*1.1+25*(0.06+0.03+0.15+0.3*1.2)*1.1,0.5)</f>
        <v>131</v>
      </c>
      <c r="F29" s="202">
        <v>0.2</v>
      </c>
      <c r="G29" s="203">
        <v>6</v>
      </c>
      <c r="H29" s="204">
        <f t="shared" si="0"/>
        <v>1.2</v>
      </c>
      <c r="I29" s="205"/>
      <c r="J29" s="206">
        <v>7</v>
      </c>
      <c r="K29" s="207">
        <f t="shared" si="1"/>
        <v>8.1999999999999993</v>
      </c>
      <c r="L29" s="204">
        <f t="shared" si="2"/>
        <v>26.2</v>
      </c>
      <c r="M29" s="207">
        <f t="shared" si="3"/>
        <v>157.19999999999999</v>
      </c>
      <c r="N29" s="204">
        <f t="shared" si="4"/>
        <v>0</v>
      </c>
      <c r="O29" s="204">
        <f t="shared" si="5"/>
        <v>917</v>
      </c>
      <c r="P29" s="204">
        <f t="shared" si="6"/>
        <v>1074.2</v>
      </c>
    </row>
    <row r="30" spans="1:16" ht="25.5">
      <c r="A30" s="129" t="s">
        <v>438</v>
      </c>
      <c r="B30" s="129"/>
      <c r="C30" s="8" t="s">
        <v>409</v>
      </c>
      <c r="D30" s="15" t="s">
        <v>43</v>
      </c>
      <c r="E30" s="162">
        <v>14</v>
      </c>
      <c r="F30" s="202">
        <v>0.5</v>
      </c>
      <c r="G30" s="203">
        <v>6</v>
      </c>
      <c r="H30" s="204">
        <f t="shared" si="0"/>
        <v>3</v>
      </c>
      <c r="I30" s="205"/>
      <c r="J30" s="206">
        <v>5</v>
      </c>
      <c r="K30" s="207">
        <f t="shared" si="1"/>
        <v>8</v>
      </c>
      <c r="L30" s="204">
        <f t="shared" si="2"/>
        <v>7</v>
      </c>
      <c r="M30" s="207">
        <f t="shared" si="3"/>
        <v>42</v>
      </c>
      <c r="N30" s="204">
        <f t="shared" si="4"/>
        <v>0</v>
      </c>
      <c r="O30" s="204">
        <f t="shared" si="5"/>
        <v>70</v>
      </c>
      <c r="P30" s="204">
        <f t="shared" si="6"/>
        <v>112</v>
      </c>
    </row>
    <row r="31" spans="1:16">
      <c r="A31" s="126" t="s">
        <v>439</v>
      </c>
      <c r="B31" s="126"/>
      <c r="C31" s="16" t="s">
        <v>410</v>
      </c>
      <c r="D31" s="21"/>
      <c r="E31" s="10"/>
      <c r="F31" s="202"/>
      <c r="G31" s="203">
        <v>6</v>
      </c>
      <c r="H31" s="204">
        <f t="shared" si="0"/>
        <v>0</v>
      </c>
      <c r="I31" s="205"/>
      <c r="J31" s="206"/>
      <c r="K31" s="207">
        <f t="shared" si="1"/>
        <v>0</v>
      </c>
      <c r="L31" s="204">
        <f t="shared" si="2"/>
        <v>0</v>
      </c>
      <c r="M31" s="207">
        <f t="shared" si="3"/>
        <v>0</v>
      </c>
      <c r="N31" s="204">
        <f t="shared" si="4"/>
        <v>0</v>
      </c>
      <c r="O31" s="204">
        <f t="shared" si="5"/>
        <v>0</v>
      </c>
      <c r="P31" s="204">
        <f t="shared" si="6"/>
        <v>0</v>
      </c>
    </row>
    <row r="32" spans="1:16" ht="15.75">
      <c r="A32" s="129" t="s">
        <v>440</v>
      </c>
      <c r="B32" s="129"/>
      <c r="C32" s="8" t="s">
        <v>411</v>
      </c>
      <c r="D32" s="15" t="s">
        <v>106</v>
      </c>
      <c r="E32" s="162">
        <v>450.7</v>
      </c>
      <c r="F32" s="202">
        <f>2/5</f>
        <v>0.4</v>
      </c>
      <c r="G32" s="203">
        <v>6</v>
      </c>
      <c r="H32" s="204">
        <f t="shared" si="0"/>
        <v>2.4</v>
      </c>
      <c r="I32" s="205">
        <f>15*0.15</f>
        <v>2.25</v>
      </c>
      <c r="J32" s="206">
        <f>8*0.15</f>
        <v>1.2</v>
      </c>
      <c r="K32" s="207">
        <f t="shared" si="1"/>
        <v>5.85</v>
      </c>
      <c r="L32" s="204">
        <f t="shared" si="2"/>
        <v>180.28</v>
      </c>
      <c r="M32" s="207">
        <f t="shared" si="3"/>
        <v>1081.68</v>
      </c>
      <c r="N32" s="204">
        <f t="shared" si="4"/>
        <v>1014.08</v>
      </c>
      <c r="O32" s="204">
        <f t="shared" si="5"/>
        <v>540.84</v>
      </c>
      <c r="P32" s="204">
        <f t="shared" si="6"/>
        <v>2636.6</v>
      </c>
    </row>
    <row r="33" spans="1:16" ht="25.5">
      <c r="A33" s="129" t="s">
        <v>441</v>
      </c>
      <c r="B33" s="129"/>
      <c r="C33" s="8" t="s">
        <v>412</v>
      </c>
      <c r="D33" s="15" t="s">
        <v>106</v>
      </c>
      <c r="E33" s="162">
        <v>441.6</v>
      </c>
      <c r="F33" s="202">
        <f>2/5</f>
        <v>0.4</v>
      </c>
      <c r="G33" s="203">
        <v>6</v>
      </c>
      <c r="H33" s="204">
        <f t="shared" si="0"/>
        <v>2.4</v>
      </c>
      <c r="I33" s="205">
        <f>15*0.1</f>
        <v>1.5</v>
      </c>
      <c r="J33" s="206">
        <f>8*0.1</f>
        <v>0.8</v>
      </c>
      <c r="K33" s="207">
        <f t="shared" si="1"/>
        <v>4.7</v>
      </c>
      <c r="L33" s="204">
        <f t="shared" si="2"/>
        <v>176.64</v>
      </c>
      <c r="M33" s="207">
        <f t="shared" si="3"/>
        <v>1059.8399999999999</v>
      </c>
      <c r="N33" s="204">
        <f t="shared" si="4"/>
        <v>662.4</v>
      </c>
      <c r="O33" s="204">
        <f t="shared" si="5"/>
        <v>353.28</v>
      </c>
      <c r="P33" s="204">
        <f t="shared" si="6"/>
        <v>2075.52</v>
      </c>
    </row>
    <row r="34" spans="1:16">
      <c r="A34" s="126" t="s">
        <v>442</v>
      </c>
      <c r="B34" s="126"/>
      <c r="C34" s="16" t="s">
        <v>113</v>
      </c>
      <c r="D34" s="21"/>
      <c r="E34" s="10"/>
      <c r="F34" s="202"/>
      <c r="G34" s="203">
        <v>6</v>
      </c>
      <c r="H34" s="204">
        <f t="shared" si="0"/>
        <v>0</v>
      </c>
      <c r="I34" s="205"/>
      <c r="J34" s="206"/>
      <c r="K34" s="207">
        <f t="shared" si="1"/>
        <v>0</v>
      </c>
      <c r="L34" s="204">
        <f t="shared" si="2"/>
        <v>0</v>
      </c>
      <c r="M34" s="207">
        <f t="shared" si="3"/>
        <v>0</v>
      </c>
      <c r="N34" s="204">
        <f t="shared" si="4"/>
        <v>0</v>
      </c>
      <c r="O34" s="204">
        <f t="shared" si="5"/>
        <v>0</v>
      </c>
      <c r="P34" s="204">
        <f t="shared" si="6"/>
        <v>0</v>
      </c>
    </row>
    <row r="35" spans="1:16" ht="14.25">
      <c r="A35" s="129" t="s">
        <v>443</v>
      </c>
      <c r="B35" s="129"/>
      <c r="C35" s="8" t="s">
        <v>413</v>
      </c>
      <c r="D35" s="15" t="s">
        <v>106</v>
      </c>
      <c r="E35" s="161">
        <v>43.8</v>
      </c>
      <c r="F35" s="202">
        <v>2</v>
      </c>
      <c r="G35" s="203">
        <v>6</v>
      </c>
      <c r="H35" s="204">
        <f t="shared" si="0"/>
        <v>12</v>
      </c>
      <c r="I35" s="205">
        <v>11.5</v>
      </c>
      <c r="J35" s="206">
        <v>0.8</v>
      </c>
      <c r="K35" s="207">
        <f t="shared" si="1"/>
        <v>24.3</v>
      </c>
      <c r="L35" s="204">
        <f t="shared" si="2"/>
        <v>87.6</v>
      </c>
      <c r="M35" s="207">
        <f t="shared" si="3"/>
        <v>525.6</v>
      </c>
      <c r="N35" s="204">
        <f t="shared" si="4"/>
        <v>503.7</v>
      </c>
      <c r="O35" s="204">
        <f t="shared" si="5"/>
        <v>35.04</v>
      </c>
      <c r="P35" s="204">
        <f t="shared" si="6"/>
        <v>1064.3399999999999</v>
      </c>
    </row>
    <row r="36" spans="1:16" ht="14.25">
      <c r="A36" s="129" t="s">
        <v>444</v>
      </c>
      <c r="B36" s="129"/>
      <c r="C36" s="8" t="s">
        <v>414</v>
      </c>
      <c r="D36" s="15" t="s">
        <v>106</v>
      </c>
      <c r="E36" s="156">
        <f>E35</f>
        <v>43.8</v>
      </c>
      <c r="F36" s="202">
        <v>0.1</v>
      </c>
      <c r="G36" s="203">
        <v>6</v>
      </c>
      <c r="H36" s="204">
        <f t="shared" si="0"/>
        <v>0.6</v>
      </c>
      <c r="I36" s="205">
        <f>15*0.04</f>
        <v>0.6</v>
      </c>
      <c r="J36" s="206">
        <v>0.5</v>
      </c>
      <c r="K36" s="207">
        <f t="shared" si="1"/>
        <v>1.7</v>
      </c>
      <c r="L36" s="204">
        <f t="shared" si="2"/>
        <v>4.38</v>
      </c>
      <c r="M36" s="207">
        <f t="shared" si="3"/>
        <v>26.28</v>
      </c>
      <c r="N36" s="204">
        <f t="shared" si="4"/>
        <v>26.28</v>
      </c>
      <c r="O36" s="204">
        <f t="shared" si="5"/>
        <v>21.9</v>
      </c>
      <c r="P36" s="204">
        <f t="shared" si="6"/>
        <v>74.459999999999994</v>
      </c>
    </row>
    <row r="37" spans="1:16" ht="15.75">
      <c r="A37" s="129" t="s">
        <v>445</v>
      </c>
      <c r="B37" s="129"/>
      <c r="C37" s="8" t="s">
        <v>411</v>
      </c>
      <c r="D37" s="15" t="s">
        <v>106</v>
      </c>
      <c r="E37" s="162">
        <v>43.8</v>
      </c>
      <c r="F37" s="202">
        <f>2/5</f>
        <v>0.4</v>
      </c>
      <c r="G37" s="203">
        <v>6</v>
      </c>
      <c r="H37" s="204">
        <f t="shared" ref="H37" si="7">ROUND(G37*F37,2)</f>
        <v>2.4</v>
      </c>
      <c r="I37" s="205">
        <f>15*0.15</f>
        <v>2.25</v>
      </c>
      <c r="J37" s="206">
        <f>8*0.15</f>
        <v>1.2</v>
      </c>
      <c r="K37" s="207">
        <f t="shared" si="1"/>
        <v>5.85</v>
      </c>
      <c r="L37" s="204">
        <f t="shared" si="2"/>
        <v>17.52</v>
      </c>
      <c r="M37" s="207">
        <f t="shared" si="3"/>
        <v>105.12</v>
      </c>
      <c r="N37" s="204">
        <f t="shared" si="4"/>
        <v>98.55</v>
      </c>
      <c r="O37" s="204">
        <f t="shared" si="5"/>
        <v>52.56</v>
      </c>
      <c r="P37" s="204">
        <f t="shared" si="6"/>
        <v>256.23</v>
      </c>
    </row>
    <row r="38" spans="1:16" ht="14.25">
      <c r="A38" s="129" t="s">
        <v>446</v>
      </c>
      <c r="B38" s="129"/>
      <c r="C38" s="8" t="s">
        <v>415</v>
      </c>
      <c r="D38" s="15" t="s">
        <v>112</v>
      </c>
      <c r="E38" s="162">
        <f>ROUND(E37*1.2*0.3,0.5)</f>
        <v>16</v>
      </c>
      <c r="F38" s="202">
        <f>7/5</f>
        <v>1.4</v>
      </c>
      <c r="G38" s="203">
        <v>6</v>
      </c>
      <c r="H38" s="204">
        <f t="shared" si="0"/>
        <v>8.4</v>
      </c>
      <c r="I38" s="205">
        <v>8</v>
      </c>
      <c r="J38" s="206">
        <v>8</v>
      </c>
      <c r="K38" s="207">
        <f t="shared" si="1"/>
        <v>24.4</v>
      </c>
      <c r="L38" s="204">
        <f t="shared" si="2"/>
        <v>22.4</v>
      </c>
      <c r="M38" s="207">
        <f t="shared" si="3"/>
        <v>134.4</v>
      </c>
      <c r="N38" s="204">
        <f t="shared" si="4"/>
        <v>128</v>
      </c>
      <c r="O38" s="204">
        <f t="shared" si="5"/>
        <v>128</v>
      </c>
      <c r="P38" s="204">
        <f t="shared" si="6"/>
        <v>390.4</v>
      </c>
    </row>
    <row r="39" spans="1:16">
      <c r="A39" s="126" t="s">
        <v>447</v>
      </c>
      <c r="B39" s="126"/>
      <c r="C39" s="16" t="s">
        <v>416</v>
      </c>
      <c r="D39" s="21"/>
      <c r="E39" s="10"/>
      <c r="F39" s="202"/>
      <c r="G39" s="203">
        <v>6</v>
      </c>
      <c r="H39" s="204">
        <f t="shared" si="0"/>
        <v>0</v>
      </c>
      <c r="I39" s="205"/>
      <c r="J39" s="206"/>
      <c r="K39" s="207">
        <f t="shared" si="1"/>
        <v>0</v>
      </c>
      <c r="L39" s="204">
        <f t="shared" si="2"/>
        <v>0</v>
      </c>
      <c r="M39" s="207">
        <f t="shared" si="3"/>
        <v>0</v>
      </c>
      <c r="N39" s="204">
        <f t="shared" si="4"/>
        <v>0</v>
      </c>
      <c r="O39" s="204">
        <f t="shared" si="5"/>
        <v>0</v>
      </c>
      <c r="P39" s="204">
        <f t="shared" si="6"/>
        <v>0</v>
      </c>
    </row>
    <row r="40" spans="1:16" ht="51">
      <c r="A40" s="129" t="s">
        <v>448</v>
      </c>
      <c r="B40" s="129"/>
      <c r="C40" s="8" t="s">
        <v>417</v>
      </c>
      <c r="D40" s="15" t="s">
        <v>106</v>
      </c>
      <c r="E40" s="161">
        <v>41</v>
      </c>
      <c r="F40" s="202">
        <v>0.8</v>
      </c>
      <c r="G40" s="203">
        <v>6</v>
      </c>
      <c r="H40" s="204">
        <f t="shared" si="0"/>
        <v>4.8</v>
      </c>
      <c r="I40" s="205"/>
      <c r="J40" s="206">
        <v>5</v>
      </c>
      <c r="K40" s="207">
        <f t="shared" si="1"/>
        <v>9.8000000000000007</v>
      </c>
      <c r="L40" s="204">
        <f t="shared" si="2"/>
        <v>32.799999999999997</v>
      </c>
      <c r="M40" s="207">
        <f t="shared" si="3"/>
        <v>196.8</v>
      </c>
      <c r="N40" s="204">
        <f t="shared" si="4"/>
        <v>0</v>
      </c>
      <c r="O40" s="204">
        <f t="shared" si="5"/>
        <v>205</v>
      </c>
      <c r="P40" s="204">
        <f t="shared" si="6"/>
        <v>401.8</v>
      </c>
    </row>
    <row r="41" spans="1:16" ht="25.5">
      <c r="A41" s="129" t="s">
        <v>449</v>
      </c>
      <c r="B41" s="129"/>
      <c r="C41" s="8" t="s">
        <v>418</v>
      </c>
      <c r="D41" s="15" t="s">
        <v>106</v>
      </c>
      <c r="E41" s="156">
        <v>41</v>
      </c>
      <c r="F41" s="202">
        <v>0.1</v>
      </c>
      <c r="G41" s="203">
        <v>6</v>
      </c>
      <c r="H41" s="204">
        <f t="shared" ref="H41:H43" si="8">ROUND(G41*F41,2)</f>
        <v>0.6</v>
      </c>
      <c r="I41" s="205">
        <f>15*0.06</f>
        <v>0.9</v>
      </c>
      <c r="J41" s="206">
        <v>0.5</v>
      </c>
      <c r="K41" s="207">
        <f t="shared" si="1"/>
        <v>2</v>
      </c>
      <c r="L41" s="204">
        <f t="shared" si="2"/>
        <v>4.0999999999999996</v>
      </c>
      <c r="M41" s="207">
        <f t="shared" si="3"/>
        <v>24.6</v>
      </c>
      <c r="N41" s="204">
        <f t="shared" si="4"/>
        <v>36.9</v>
      </c>
      <c r="O41" s="204">
        <f t="shared" si="5"/>
        <v>20.5</v>
      </c>
      <c r="P41" s="204">
        <f t="shared" si="6"/>
        <v>82</v>
      </c>
    </row>
    <row r="42" spans="1:16" ht="15.75">
      <c r="A42" s="129" t="s">
        <v>450</v>
      </c>
      <c r="B42" s="129"/>
      <c r="C42" s="8" t="s">
        <v>411</v>
      </c>
      <c r="D42" s="15" t="s">
        <v>106</v>
      </c>
      <c r="E42" s="162">
        <v>41</v>
      </c>
      <c r="F42" s="202">
        <f>2/5</f>
        <v>0.4</v>
      </c>
      <c r="G42" s="203">
        <v>6</v>
      </c>
      <c r="H42" s="204">
        <f t="shared" si="8"/>
        <v>2.4</v>
      </c>
      <c r="I42" s="205">
        <f>15*0.15</f>
        <v>2.25</v>
      </c>
      <c r="J42" s="206">
        <f>8*0.15</f>
        <v>1.2</v>
      </c>
      <c r="K42" s="207">
        <f t="shared" si="1"/>
        <v>5.85</v>
      </c>
      <c r="L42" s="204">
        <f t="shared" si="2"/>
        <v>16.399999999999999</v>
      </c>
      <c r="M42" s="207">
        <f t="shared" si="3"/>
        <v>98.4</v>
      </c>
      <c r="N42" s="204">
        <f t="shared" si="4"/>
        <v>92.25</v>
      </c>
      <c r="O42" s="204">
        <f t="shared" si="5"/>
        <v>49.2</v>
      </c>
      <c r="P42" s="204">
        <f t="shared" si="6"/>
        <v>239.85</v>
      </c>
    </row>
    <row r="43" spans="1:16" ht="14.25">
      <c r="A43" s="129" t="s">
        <v>451</v>
      </c>
      <c r="B43" s="129"/>
      <c r="C43" s="8" t="s">
        <v>415</v>
      </c>
      <c r="D43" s="15" t="s">
        <v>112</v>
      </c>
      <c r="E43" s="162">
        <f>ROUND(E42*1.2*0.3,0.5)</f>
        <v>15</v>
      </c>
      <c r="F43" s="202">
        <f>7/5</f>
        <v>1.4</v>
      </c>
      <c r="G43" s="203">
        <v>6</v>
      </c>
      <c r="H43" s="204">
        <f t="shared" si="8"/>
        <v>8.4</v>
      </c>
      <c r="I43" s="205">
        <v>8</v>
      </c>
      <c r="J43" s="206">
        <v>8</v>
      </c>
      <c r="K43" s="207">
        <f t="shared" si="1"/>
        <v>24.4</v>
      </c>
      <c r="L43" s="204">
        <f t="shared" si="2"/>
        <v>21</v>
      </c>
      <c r="M43" s="207">
        <f t="shared" si="3"/>
        <v>126</v>
      </c>
      <c r="N43" s="204">
        <f t="shared" si="4"/>
        <v>120</v>
      </c>
      <c r="O43" s="204">
        <f t="shared" si="5"/>
        <v>120</v>
      </c>
      <c r="P43" s="204">
        <f t="shared" si="6"/>
        <v>366</v>
      </c>
    </row>
    <row r="44" spans="1:16" ht="25.5">
      <c r="A44" s="129" t="s">
        <v>452</v>
      </c>
      <c r="B44" s="129"/>
      <c r="C44" s="8" t="s">
        <v>419</v>
      </c>
      <c r="D44" s="15" t="s">
        <v>106</v>
      </c>
      <c r="E44" s="161">
        <v>41</v>
      </c>
      <c r="F44" s="202">
        <v>2</v>
      </c>
      <c r="G44" s="203">
        <v>6</v>
      </c>
      <c r="H44" s="204">
        <f t="shared" si="0"/>
        <v>12</v>
      </c>
      <c r="I44" s="205">
        <f>11.5*0.2</f>
        <v>2.2999999999999998</v>
      </c>
      <c r="J44" s="206">
        <v>0.8</v>
      </c>
      <c r="K44" s="207">
        <f t="shared" si="1"/>
        <v>15.1</v>
      </c>
      <c r="L44" s="204">
        <f t="shared" si="2"/>
        <v>82</v>
      </c>
      <c r="M44" s="207">
        <f t="shared" si="3"/>
        <v>492</v>
      </c>
      <c r="N44" s="204">
        <f t="shared" si="4"/>
        <v>94.3</v>
      </c>
      <c r="O44" s="204">
        <f t="shared" si="5"/>
        <v>32.799999999999997</v>
      </c>
      <c r="P44" s="204">
        <f t="shared" si="6"/>
        <v>619.1</v>
      </c>
    </row>
    <row r="45" spans="1:16">
      <c r="A45" s="126" t="s">
        <v>453</v>
      </c>
      <c r="B45" s="126"/>
      <c r="C45" s="16" t="s">
        <v>420</v>
      </c>
      <c r="D45" s="21"/>
      <c r="E45" s="10"/>
      <c r="F45" s="202"/>
      <c r="G45" s="203">
        <v>6</v>
      </c>
      <c r="H45" s="204">
        <f t="shared" si="0"/>
        <v>0</v>
      </c>
      <c r="I45" s="205"/>
      <c r="J45" s="206"/>
      <c r="K45" s="207">
        <f t="shared" si="1"/>
        <v>0</v>
      </c>
      <c r="L45" s="204">
        <f t="shared" si="2"/>
        <v>0</v>
      </c>
      <c r="M45" s="207">
        <f t="shared" si="3"/>
        <v>0</v>
      </c>
      <c r="N45" s="204">
        <f t="shared" si="4"/>
        <v>0</v>
      </c>
      <c r="O45" s="204">
        <f t="shared" si="5"/>
        <v>0</v>
      </c>
      <c r="P45" s="204">
        <f t="shared" si="6"/>
        <v>0</v>
      </c>
    </row>
    <row r="46" spans="1:16" ht="25.5">
      <c r="A46" s="129" t="s">
        <v>454</v>
      </c>
      <c r="B46" s="129"/>
      <c r="C46" s="8" t="s">
        <v>421</v>
      </c>
      <c r="D46" s="15" t="s">
        <v>43</v>
      </c>
      <c r="E46" s="162">
        <f>52.5+23.5</f>
        <v>76</v>
      </c>
      <c r="F46" s="202">
        <v>0.9</v>
      </c>
      <c r="G46" s="203">
        <v>6</v>
      </c>
      <c r="H46" s="204">
        <f t="shared" si="0"/>
        <v>5.4</v>
      </c>
      <c r="I46" s="205">
        <v>3.2</v>
      </c>
      <c r="J46" s="206">
        <v>0.8</v>
      </c>
      <c r="K46" s="207">
        <f t="shared" si="1"/>
        <v>9.4</v>
      </c>
      <c r="L46" s="204">
        <f t="shared" si="2"/>
        <v>68.400000000000006</v>
      </c>
      <c r="M46" s="207">
        <f t="shared" si="3"/>
        <v>410.4</v>
      </c>
      <c r="N46" s="204">
        <f t="shared" si="4"/>
        <v>243.2</v>
      </c>
      <c r="O46" s="204">
        <f t="shared" si="5"/>
        <v>60.8</v>
      </c>
      <c r="P46" s="204">
        <f t="shared" si="6"/>
        <v>714.4</v>
      </c>
    </row>
    <row r="47" spans="1:16">
      <c r="A47" s="126" t="s">
        <v>455</v>
      </c>
      <c r="B47" s="126"/>
      <c r="C47" s="16" t="s">
        <v>422</v>
      </c>
      <c r="D47" s="21"/>
      <c r="E47" s="10"/>
      <c r="F47" s="202"/>
      <c r="G47" s="203">
        <v>6</v>
      </c>
      <c r="H47" s="204">
        <f t="shared" si="0"/>
        <v>0</v>
      </c>
      <c r="I47" s="205"/>
      <c r="J47" s="206"/>
      <c r="K47" s="207">
        <f t="shared" si="1"/>
        <v>0</v>
      </c>
      <c r="L47" s="204">
        <f t="shared" si="2"/>
        <v>0</v>
      </c>
      <c r="M47" s="207">
        <f t="shared" si="3"/>
        <v>0</v>
      </c>
      <c r="N47" s="204">
        <f t="shared" si="4"/>
        <v>0</v>
      </c>
      <c r="O47" s="204">
        <f t="shared" si="5"/>
        <v>0</v>
      </c>
      <c r="P47" s="204">
        <f t="shared" si="6"/>
        <v>0</v>
      </c>
    </row>
    <row r="48" spans="1:16" ht="51">
      <c r="A48" s="129" t="s">
        <v>456</v>
      </c>
      <c r="B48" s="129"/>
      <c r="C48" s="8" t="s">
        <v>423</v>
      </c>
      <c r="D48" s="156" t="s">
        <v>106</v>
      </c>
      <c r="E48" s="156">
        <f>ROUND(147.3*1.1+4.5*15*1.1,0.5)</f>
        <v>236</v>
      </c>
      <c r="F48" s="202">
        <v>0.3</v>
      </c>
      <c r="G48" s="203">
        <v>6</v>
      </c>
      <c r="H48" s="204">
        <f t="shared" si="0"/>
        <v>1.8</v>
      </c>
      <c r="I48" s="205">
        <v>1.2</v>
      </c>
      <c r="J48" s="206">
        <v>0.5</v>
      </c>
      <c r="K48" s="207">
        <f t="shared" si="1"/>
        <v>3.5</v>
      </c>
      <c r="L48" s="204">
        <f t="shared" si="2"/>
        <v>70.8</v>
      </c>
      <c r="M48" s="207">
        <f t="shared" si="3"/>
        <v>424.8</v>
      </c>
      <c r="N48" s="204">
        <f t="shared" si="4"/>
        <v>283.2</v>
      </c>
      <c r="O48" s="204">
        <f t="shared" si="5"/>
        <v>118</v>
      </c>
      <c r="P48" s="204">
        <f t="shared" si="6"/>
        <v>826</v>
      </c>
    </row>
    <row r="49" spans="1:16" ht="15">
      <c r="A49" s="199"/>
      <c r="B49" s="199"/>
      <c r="C49" s="200"/>
      <c r="D49" s="154"/>
      <c r="E49" s="201"/>
      <c r="F49" s="202"/>
      <c r="G49" s="203"/>
      <c r="H49" s="204"/>
      <c r="I49" s="205"/>
      <c r="J49" s="206"/>
      <c r="K49" s="207"/>
      <c r="L49" s="204"/>
      <c r="M49" s="207"/>
      <c r="N49" s="204"/>
      <c r="O49" s="204"/>
      <c r="P49" s="204"/>
    </row>
    <row r="50" spans="1:16">
      <c r="A50" s="208"/>
      <c r="B50" s="208"/>
      <c r="C50" s="209" t="s">
        <v>1112</v>
      </c>
      <c r="D50" s="210"/>
      <c r="E50" s="211"/>
      <c r="F50" s="212"/>
      <c r="G50" s="212"/>
      <c r="H50" s="212"/>
      <c r="I50" s="212"/>
      <c r="J50" s="213"/>
      <c r="K50" s="213"/>
      <c r="L50" s="214">
        <f>SUM(L17:L49)</f>
        <v>950.84</v>
      </c>
      <c r="M50" s="214">
        <f t="shared" ref="M50:P50" si="9">SUM(M17:M49)</f>
        <v>5705.04</v>
      </c>
      <c r="N50" s="214">
        <f t="shared" si="9"/>
        <v>3643.86</v>
      </c>
      <c r="O50" s="214">
        <f t="shared" si="9"/>
        <v>3602.72</v>
      </c>
      <c r="P50" s="214">
        <f t="shared" si="9"/>
        <v>12951.62</v>
      </c>
    </row>
    <row r="51" spans="1:16" ht="15" customHeight="1">
      <c r="A51" s="215" t="s">
        <v>1113</v>
      </c>
      <c r="B51" s="215"/>
      <c r="C51" s="216"/>
      <c r="D51" s="215"/>
      <c r="E51" s="217"/>
      <c r="F51" s="217"/>
      <c r="G51" s="217"/>
      <c r="H51" s="217"/>
      <c r="I51" s="217"/>
      <c r="J51" s="217"/>
      <c r="K51" s="217"/>
      <c r="L51" s="218"/>
      <c r="M51" s="218"/>
      <c r="N51" s="218"/>
      <c r="O51" s="218"/>
      <c r="P51" s="218"/>
    </row>
    <row r="52" spans="1:16" ht="15.75">
      <c r="A52" s="219"/>
      <c r="B52" s="219"/>
      <c r="C52" s="220"/>
      <c r="D52" s="219"/>
      <c r="E52" s="219"/>
      <c r="F52" s="219"/>
      <c r="G52" s="219"/>
      <c r="H52" s="219"/>
      <c r="I52" s="219"/>
      <c r="J52" s="219"/>
      <c r="K52" s="219"/>
      <c r="L52" s="219"/>
      <c r="M52" s="219"/>
      <c r="N52" s="219"/>
      <c r="O52" s="219"/>
      <c r="P52" s="219"/>
    </row>
    <row r="53" spans="1:16" ht="15">
      <c r="A53" s="219"/>
      <c r="B53" s="219"/>
      <c r="C53" s="219"/>
      <c r="D53" s="219"/>
      <c r="E53" s="219"/>
      <c r="F53" s="219"/>
      <c r="G53" s="219"/>
      <c r="H53" s="219"/>
      <c r="I53" s="219"/>
      <c r="J53" s="219"/>
      <c r="K53" s="219"/>
      <c r="L53" s="219"/>
      <c r="M53" s="219"/>
      <c r="N53" s="219"/>
      <c r="O53" s="219"/>
      <c r="P53" s="219"/>
    </row>
    <row r="54" spans="1:16" ht="15">
      <c r="A54" s="219"/>
      <c r="B54" s="219"/>
      <c r="C54" s="221" t="s">
        <v>1114</v>
      </c>
      <c r="D54" s="221"/>
      <c r="E54" s="221"/>
      <c r="F54" s="221"/>
      <c r="G54" s="222"/>
      <c r="H54" s="223"/>
      <c r="I54" s="223" t="s">
        <v>1115</v>
      </c>
      <c r="J54" s="222" t="s">
        <v>1116</v>
      </c>
      <c r="K54" s="222"/>
      <c r="L54" s="222"/>
      <c r="M54" s="222"/>
      <c r="N54" s="224"/>
      <c r="O54" s="219"/>
      <c r="P54" s="219"/>
    </row>
    <row r="55" spans="1:16" ht="15" customHeight="1">
      <c r="A55" s="219"/>
      <c r="B55" s="219"/>
      <c r="C55" s="225" t="s">
        <v>1097</v>
      </c>
      <c r="D55" s="225"/>
      <c r="E55" s="225"/>
      <c r="F55" s="225"/>
      <c r="G55" s="222"/>
      <c r="H55" s="222"/>
      <c r="I55" s="222"/>
      <c r="J55" s="312" t="s">
        <v>1097</v>
      </c>
      <c r="K55" s="312"/>
      <c r="L55" s="312"/>
      <c r="M55" s="312"/>
      <c r="N55" s="224"/>
      <c r="O55" s="219"/>
      <c r="P55" s="219"/>
    </row>
    <row r="56" spans="1:16" ht="15">
      <c r="A56" s="219"/>
      <c r="B56" s="219"/>
      <c r="C56" s="222" t="s">
        <v>1075</v>
      </c>
      <c r="D56" s="222"/>
      <c r="E56" s="222"/>
      <c r="F56" s="222"/>
      <c r="G56" s="222"/>
      <c r="H56" s="222"/>
      <c r="I56" s="222" t="s">
        <v>1078</v>
      </c>
      <c r="J56" s="222"/>
      <c r="K56" s="222"/>
      <c r="L56" s="222"/>
      <c r="M56" s="222"/>
      <c r="N56" s="224"/>
      <c r="O56" s="219"/>
      <c r="P56" s="219"/>
    </row>
    <row r="57" spans="1:16">
      <c r="A57" s="166"/>
      <c r="B57" s="166"/>
    </row>
    <row r="58" spans="1:16" ht="15" customHeight="1">
      <c r="A58" s="166"/>
      <c r="B58" s="166"/>
    </row>
    <row r="59" spans="1:16" s="157" customFormat="1">
      <c r="A59" s="166"/>
      <c r="B59" s="166"/>
      <c r="C59" s="121"/>
      <c r="D59" s="121"/>
      <c r="E59" s="121"/>
      <c r="F59" s="121"/>
      <c r="G59" s="121"/>
      <c r="H59" s="121"/>
      <c r="I59" s="121"/>
      <c r="J59" s="121"/>
      <c r="K59" s="121"/>
      <c r="L59" s="121"/>
      <c r="M59" s="121"/>
      <c r="N59" s="121"/>
      <c r="O59" s="121"/>
      <c r="P59" s="121"/>
    </row>
    <row r="60" spans="1:16">
      <c r="A60" s="166"/>
      <c r="B60" s="166"/>
    </row>
    <row r="61" spans="1:16">
      <c r="A61" s="166"/>
      <c r="B61" s="166"/>
    </row>
  </sheetData>
  <mergeCells count="15">
    <mergeCell ref="A9:E9"/>
    <mergeCell ref="A2:E2"/>
    <mergeCell ref="A4:E4"/>
    <mergeCell ref="A5:E5"/>
    <mergeCell ref="A7:E7"/>
    <mergeCell ref="A8:E8"/>
    <mergeCell ref="F14:K14"/>
    <mergeCell ref="L14:P14"/>
    <mergeCell ref="J55:M55"/>
    <mergeCell ref="A12:E12"/>
    <mergeCell ref="A14:A15"/>
    <mergeCell ref="C14:C15"/>
    <mergeCell ref="D14:D15"/>
    <mergeCell ref="E14:E15"/>
    <mergeCell ref="B14:B15"/>
  </mergeCells>
  <conditionalFormatting sqref="C48 C46 C28:C30 C32:C33 C37:C44 C20:C24">
    <cfRule type="cellIs" dxfId="1" priority="1" stopIfTrue="1" operator="equal">
      <formula>0</formula>
    </cfRule>
  </conditionalFormatting>
  <conditionalFormatting sqref="C35:C36 C40:C41 C44">
    <cfRule type="cellIs" dxfId="0" priority="2" stopIfTrue="1" operator="equal">
      <formula>0</formula>
    </cfRule>
  </conditionalFormatting>
  <pageMargins left="1.41"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N45"/>
  <sheetViews>
    <sheetView showZeros="0" topLeftCell="A7" zoomScale="90" zoomScaleNormal="90" workbookViewId="0">
      <selection activeCell="G28" sqref="G28"/>
    </sheetView>
  </sheetViews>
  <sheetFormatPr defaultColWidth="9.140625" defaultRowHeight="12.75"/>
  <cols>
    <col min="1" max="1" width="6.28515625" style="84" customWidth="1"/>
    <col min="2" max="2" width="11.28515625" style="113" customWidth="1"/>
    <col min="3" max="3" width="35.5703125" style="84" customWidth="1"/>
    <col min="4" max="4" width="7.5703125" style="84" customWidth="1"/>
    <col min="5" max="5" width="14.5703125" style="84" customWidth="1"/>
    <col min="6" max="9" width="13.7109375" style="84" customWidth="1"/>
    <col min="10" max="11" width="9.140625" style="84"/>
    <col min="12" max="12" width="11.42578125" style="84" customWidth="1"/>
    <col min="13" max="16384" width="9.140625" style="84"/>
  </cols>
  <sheetData>
    <row r="1" spans="1:14" ht="20.25">
      <c r="A1" s="308" t="s">
        <v>1081</v>
      </c>
      <c r="B1" s="308"/>
      <c r="C1" s="308"/>
      <c r="D1" s="308"/>
      <c r="E1" s="308"/>
      <c r="F1" s="308"/>
      <c r="G1" s="308"/>
      <c r="H1" s="308"/>
      <c r="I1" s="308"/>
    </row>
    <row r="2" spans="1:14" ht="15.75" customHeight="1">
      <c r="A2" s="85"/>
      <c r="B2" s="85"/>
      <c r="C2" s="85"/>
      <c r="D2" s="85"/>
      <c r="E2" s="85"/>
      <c r="F2" s="85"/>
      <c r="G2" s="85"/>
      <c r="H2" s="85"/>
      <c r="I2" s="85"/>
    </row>
    <row r="3" spans="1:14" s="86" customFormat="1" ht="13.9" customHeight="1">
      <c r="A3" s="281" t="s">
        <v>150</v>
      </c>
      <c r="B3" s="281"/>
      <c r="C3" s="281"/>
      <c r="D3" s="281"/>
      <c r="E3" s="281"/>
    </row>
    <row r="4" spans="1:14" s="86" customFormat="1" ht="13.9" customHeight="1">
      <c r="A4" s="281" t="s">
        <v>151</v>
      </c>
      <c r="B4" s="281"/>
      <c r="C4" s="281"/>
      <c r="D4" s="281"/>
      <c r="E4" s="281"/>
    </row>
    <row r="5" spans="1:14" s="86" customFormat="1" ht="13.9" customHeight="1">
      <c r="A5" s="282" t="s">
        <v>152</v>
      </c>
      <c r="B5" s="282"/>
      <c r="C5" s="282"/>
      <c r="D5" s="282"/>
      <c r="E5" s="282"/>
    </row>
    <row r="6" spans="1:14" s="86" customFormat="1" ht="14.25">
      <c r="A6" s="283"/>
      <c r="B6" s="283"/>
      <c r="C6" s="283"/>
      <c r="D6" s="283"/>
      <c r="E6" s="283"/>
      <c r="F6" s="283"/>
      <c r="G6" s="283"/>
      <c r="H6" s="283"/>
      <c r="I6" s="283"/>
    </row>
    <row r="7" spans="1:14" s="86" customFormat="1" ht="13.5" customHeight="1">
      <c r="A7" s="55" t="s">
        <v>1064</v>
      </c>
      <c r="B7" s="87"/>
      <c r="C7" s="52" t="s">
        <v>1065</v>
      </c>
      <c r="D7" s="87"/>
      <c r="E7" s="87"/>
      <c r="F7" s="87"/>
      <c r="G7" s="87"/>
      <c r="H7" s="87"/>
      <c r="I7" s="87"/>
    </row>
    <row r="8" spans="1:14" s="86" customFormat="1" ht="14.25">
      <c r="B8" s="88"/>
    </row>
    <row r="9" spans="1:14" s="86" customFormat="1" ht="14.25">
      <c r="B9" s="88"/>
      <c r="C9" s="309" t="s">
        <v>1126</v>
      </c>
      <c r="D9" s="309"/>
      <c r="E9" s="89">
        <f>E29</f>
        <v>181794.67</v>
      </c>
    </row>
    <row r="10" spans="1:14" s="86" customFormat="1" ht="14.25">
      <c r="B10" s="88"/>
      <c r="C10" s="309" t="s">
        <v>1082</v>
      </c>
      <c r="D10" s="309"/>
      <c r="E10" s="90">
        <f>I25</f>
        <v>10124.31</v>
      </c>
    </row>
    <row r="11" spans="1:14" s="86" customFormat="1" ht="14.25">
      <c r="B11" s="88"/>
      <c r="C11" s="91"/>
      <c r="D11" s="91"/>
      <c r="G11" s="310" t="s">
        <v>1083</v>
      </c>
      <c r="H11" s="310"/>
      <c r="I11" s="92" t="s">
        <v>1118</v>
      </c>
    </row>
    <row r="12" spans="1:14" s="86" customFormat="1" ht="12.75" customHeight="1">
      <c r="A12" s="299" t="s">
        <v>1</v>
      </c>
      <c r="B12" s="301" t="s">
        <v>1084</v>
      </c>
      <c r="C12" s="303" t="s">
        <v>1085</v>
      </c>
      <c r="D12" s="304"/>
      <c r="E12" s="301" t="s">
        <v>1086</v>
      </c>
      <c r="F12" s="307" t="s">
        <v>1087</v>
      </c>
      <c r="G12" s="307"/>
      <c r="H12" s="307"/>
      <c r="I12" s="292" t="s">
        <v>1088</v>
      </c>
    </row>
    <row r="13" spans="1:14" s="86" customFormat="1" ht="29.25" customHeight="1">
      <c r="A13" s="300"/>
      <c r="B13" s="302"/>
      <c r="C13" s="305"/>
      <c r="D13" s="306"/>
      <c r="E13" s="302"/>
      <c r="F13" s="93" t="s">
        <v>1089</v>
      </c>
      <c r="G13" s="93" t="s">
        <v>1090</v>
      </c>
      <c r="H13" s="93" t="s">
        <v>1091</v>
      </c>
      <c r="I13" s="292"/>
    </row>
    <row r="14" spans="1:14" s="86" customFormat="1" ht="14.25">
      <c r="A14" s="94">
        <v>1</v>
      </c>
      <c r="B14" s="95">
        <v>1</v>
      </c>
      <c r="C14" s="228" t="s">
        <v>13</v>
      </c>
      <c r="D14" s="228"/>
      <c r="E14" s="96">
        <f>'BA1 CELTN.'!P226</f>
        <v>112969.46</v>
      </c>
      <c r="F14" s="96">
        <f>'BA1 CELTN.'!M226</f>
        <v>40153.57</v>
      </c>
      <c r="G14" s="96">
        <f>'BA1 CELTN.'!N226</f>
        <v>55014.6</v>
      </c>
      <c r="H14" s="96">
        <f>'BA1 CELTN.'!O226</f>
        <v>17801.29</v>
      </c>
      <c r="I14" s="96">
        <f>'BA1 CELTN.'!L226</f>
        <v>6692.28</v>
      </c>
      <c r="J14" s="97"/>
      <c r="K14" s="97"/>
      <c r="L14" s="97"/>
      <c r="M14" s="97"/>
      <c r="N14" s="97"/>
    </row>
    <row r="15" spans="1:14" s="86" customFormat="1" ht="14.25">
      <c r="A15" s="94">
        <v>2</v>
      </c>
      <c r="B15" s="95">
        <v>2</v>
      </c>
      <c r="C15" s="228" t="s">
        <v>385</v>
      </c>
      <c r="D15" s="228"/>
      <c r="E15" s="96">
        <f>'BA2 EL'!P71</f>
        <v>8728.7099999999991</v>
      </c>
      <c r="F15" s="96">
        <f>'BA2 EL'!M71</f>
        <v>3279</v>
      </c>
      <c r="G15" s="96">
        <f>'BA2 EL'!N71</f>
        <v>5185.3100000000004</v>
      </c>
      <c r="H15" s="96">
        <f>'BA2 EL'!O71</f>
        <v>264.39999999999998</v>
      </c>
      <c r="I15" s="96">
        <f>'BA2 EL'!L71</f>
        <v>546.5</v>
      </c>
      <c r="J15" s="97"/>
      <c r="K15" s="97"/>
      <c r="L15" s="97"/>
      <c r="M15" s="97"/>
      <c r="N15" s="97"/>
    </row>
    <row r="16" spans="1:14" s="86" customFormat="1" ht="14.25">
      <c r="A16" s="94">
        <v>3</v>
      </c>
      <c r="B16" s="95">
        <v>3</v>
      </c>
      <c r="C16" s="228" t="s">
        <v>1121</v>
      </c>
      <c r="D16" s="228"/>
      <c r="E16" s="96">
        <f>'BA3 ELT'!P36</f>
        <v>1680.19</v>
      </c>
      <c r="F16" s="96">
        <f>'BA3 ELT'!M36</f>
        <v>796.2</v>
      </c>
      <c r="G16" s="96">
        <f>'BA3 ELT'!N36</f>
        <v>692.19</v>
      </c>
      <c r="H16" s="96">
        <f>'BA3 ELT'!O36</f>
        <v>191.8</v>
      </c>
      <c r="I16" s="96">
        <f>'BA3 ELT'!L36</f>
        <v>132.69999999999999</v>
      </c>
      <c r="J16" s="97"/>
      <c r="K16" s="97"/>
      <c r="L16" s="97"/>
      <c r="M16" s="97"/>
      <c r="N16" s="97"/>
    </row>
    <row r="17" spans="1:14" s="86" customFormat="1" ht="28.5">
      <c r="A17" s="94">
        <v>4</v>
      </c>
      <c r="B17" s="95">
        <v>4</v>
      </c>
      <c r="C17" s="228" t="s">
        <v>1122</v>
      </c>
      <c r="D17" s="228"/>
      <c r="E17" s="96">
        <f>'BA4 UATS'!P29</f>
        <v>1647.87</v>
      </c>
      <c r="F17" s="96">
        <f>'BA4 UATS'!M29</f>
        <v>883.5</v>
      </c>
      <c r="G17" s="96">
        <f>'BA4 UATS'!N29</f>
        <v>682.44</v>
      </c>
      <c r="H17" s="96">
        <f>'BA4 UATS'!O29</f>
        <v>81.93</v>
      </c>
      <c r="I17" s="96">
        <f>'BA4 UATS'!L29</f>
        <v>147.25</v>
      </c>
      <c r="J17" s="97"/>
      <c r="K17" s="97"/>
      <c r="L17" s="97"/>
      <c r="M17" s="97"/>
      <c r="N17" s="97"/>
    </row>
    <row r="18" spans="1:14" s="86" customFormat="1" ht="28.5">
      <c r="A18" s="94">
        <v>5</v>
      </c>
      <c r="B18" s="95">
        <v>5</v>
      </c>
      <c r="C18" s="228" t="s">
        <v>1124</v>
      </c>
      <c r="D18" s="228"/>
      <c r="E18" s="96">
        <f>'BA5 UK'!P75</f>
        <v>5256.41</v>
      </c>
      <c r="F18" s="96">
        <f>'BA5 UK'!M75</f>
        <v>2394.7800000000002</v>
      </c>
      <c r="G18" s="96">
        <f>'BA5 UK'!N75</f>
        <v>2217.37</v>
      </c>
      <c r="H18" s="96">
        <f>'BA5 UK'!O75</f>
        <v>644.26</v>
      </c>
      <c r="I18" s="96">
        <f>'BA5 UK'!L75</f>
        <v>399.12</v>
      </c>
      <c r="J18" s="97"/>
      <c r="K18" s="97"/>
      <c r="L18" s="97"/>
      <c r="M18" s="97"/>
      <c r="N18" s="97"/>
    </row>
    <row r="19" spans="1:14" s="86" customFormat="1" ht="14.25">
      <c r="A19" s="94">
        <v>6</v>
      </c>
      <c r="B19" s="95">
        <v>6</v>
      </c>
      <c r="C19" s="228" t="s">
        <v>1125</v>
      </c>
      <c r="D19" s="228"/>
      <c r="E19" s="96">
        <f>'BA6 LKT'!P43</f>
        <v>6394.4</v>
      </c>
      <c r="F19" s="96">
        <f>'BA6 LKT'!M43</f>
        <v>1661.4</v>
      </c>
      <c r="G19" s="96">
        <f>'BA6 LKT'!N43</f>
        <v>3416.5</v>
      </c>
      <c r="H19" s="96">
        <f>'BA6 LKT'!O43</f>
        <v>1316.5</v>
      </c>
      <c r="I19" s="96">
        <f>'BA6 LKT'!L43</f>
        <v>276.89999999999998</v>
      </c>
      <c r="J19" s="97"/>
      <c r="K19" s="97"/>
      <c r="L19" s="97"/>
      <c r="M19" s="97"/>
      <c r="N19" s="97"/>
    </row>
    <row r="20" spans="1:14" s="86" customFormat="1" ht="14.25">
      <c r="A20" s="94">
        <v>7</v>
      </c>
      <c r="B20" s="95">
        <v>7</v>
      </c>
      <c r="C20" s="228" t="s">
        <v>391</v>
      </c>
      <c r="D20" s="228"/>
      <c r="E20" s="96">
        <f>'BA7 SM'!P73</f>
        <v>8064.94</v>
      </c>
      <c r="F20" s="96">
        <f>'BA7 SM'!M73</f>
        <v>2052</v>
      </c>
      <c r="G20" s="96">
        <f>'BA7 SM'!N73</f>
        <v>5854.74</v>
      </c>
      <c r="H20" s="96">
        <f>'BA7 SM'!O73</f>
        <v>158.19999999999999</v>
      </c>
      <c r="I20" s="96">
        <f>'BA7 SM'!L73</f>
        <v>342</v>
      </c>
      <c r="J20" s="97"/>
      <c r="K20" s="97"/>
      <c r="L20" s="97"/>
      <c r="M20" s="97"/>
      <c r="N20" s="97"/>
    </row>
    <row r="21" spans="1:14" s="86" customFormat="1" ht="14.25">
      <c r="A21" s="94">
        <v>8</v>
      </c>
      <c r="B21" s="95">
        <v>8</v>
      </c>
      <c r="C21" s="228" t="s">
        <v>393</v>
      </c>
      <c r="D21" s="228"/>
      <c r="E21" s="96">
        <f>'BA8 VENT'!P64</f>
        <v>7699.65</v>
      </c>
      <c r="F21" s="96">
        <f>'BA8 VENT'!M64</f>
        <v>1945.87</v>
      </c>
      <c r="G21" s="96">
        <f>'BA8 VENT'!N64</f>
        <v>5641.54</v>
      </c>
      <c r="H21" s="96">
        <f>'BA8 VENT'!O64</f>
        <v>112.24</v>
      </c>
      <c r="I21" s="96">
        <f>'BA8 VENT'!L64</f>
        <v>324.32</v>
      </c>
      <c r="J21" s="97"/>
      <c r="K21" s="97"/>
      <c r="L21" s="97"/>
      <c r="M21" s="97"/>
      <c r="N21" s="97"/>
    </row>
    <row r="22" spans="1:14" s="86" customFormat="1" ht="14.25">
      <c r="A22" s="94">
        <v>9</v>
      </c>
      <c r="B22" s="95">
        <v>9</v>
      </c>
      <c r="C22" s="228" t="s">
        <v>396</v>
      </c>
      <c r="D22" s="228"/>
      <c r="E22" s="96">
        <f>'BA9 APKURE'!P25</f>
        <v>2935.15</v>
      </c>
      <c r="F22" s="96">
        <f>'BA9 APKURE'!M25</f>
        <v>1874.4</v>
      </c>
      <c r="G22" s="96">
        <f>'BA9 APKURE'!N25</f>
        <v>979.45</v>
      </c>
      <c r="H22" s="96">
        <f>'BA9 APKURE'!O25</f>
        <v>81.3</v>
      </c>
      <c r="I22" s="96">
        <f>'BA9 APKURE'!L25</f>
        <v>312.39999999999998</v>
      </c>
      <c r="J22" s="97"/>
      <c r="K22" s="97"/>
      <c r="L22" s="97"/>
      <c r="M22" s="97"/>
      <c r="N22" s="97"/>
    </row>
    <row r="23" spans="1:14" s="86" customFormat="1" ht="14.25">
      <c r="A23" s="94">
        <v>10</v>
      </c>
      <c r="B23" s="95">
        <v>10</v>
      </c>
      <c r="C23" s="228" t="s">
        <v>1123</v>
      </c>
      <c r="D23" s="228"/>
      <c r="E23" s="96">
        <f>'BA10 CEĻI'!P50</f>
        <v>12951.62</v>
      </c>
      <c r="F23" s="96">
        <f>'BA10 CEĻI'!M50</f>
        <v>5705.04</v>
      </c>
      <c r="G23" s="96">
        <f>'BA10 CEĻI'!N50</f>
        <v>3643.86</v>
      </c>
      <c r="H23" s="96">
        <f>'BA10 CEĻI'!O50</f>
        <v>3602.72</v>
      </c>
      <c r="I23" s="96">
        <f>'BA10 CEĻI'!L50</f>
        <v>950.84</v>
      </c>
      <c r="J23" s="97"/>
      <c r="K23" s="97"/>
      <c r="L23" s="97"/>
      <c r="M23" s="97"/>
      <c r="N23" s="97"/>
    </row>
    <row r="24" spans="1:14" s="86" customFormat="1" ht="14.25">
      <c r="A24" s="94"/>
      <c r="B24" s="95"/>
      <c r="C24" s="293"/>
      <c r="D24" s="293"/>
      <c r="E24" s="96"/>
      <c r="F24" s="96"/>
      <c r="G24" s="96"/>
      <c r="H24" s="96"/>
      <c r="I24" s="96"/>
      <c r="J24" s="97"/>
      <c r="K24" s="97"/>
      <c r="L24" s="97"/>
      <c r="M24" s="97"/>
      <c r="N24" s="97"/>
    </row>
    <row r="25" spans="1:14" s="86" customFormat="1" ht="15">
      <c r="A25" s="294" t="s">
        <v>1092</v>
      </c>
      <c r="B25" s="295"/>
      <c r="C25" s="295"/>
      <c r="D25" s="296"/>
      <c r="E25" s="98">
        <f>SUM(E14:E24)</f>
        <v>168328.4</v>
      </c>
      <c r="F25" s="98">
        <f t="shared" ref="F25:I25" si="0">SUM(F14:F24)</f>
        <v>60745.760000000002</v>
      </c>
      <c r="G25" s="98">
        <f t="shared" si="0"/>
        <v>83328</v>
      </c>
      <c r="H25" s="98">
        <f t="shared" si="0"/>
        <v>24254.639999999999</v>
      </c>
      <c r="I25" s="98">
        <f t="shared" si="0"/>
        <v>10124.31</v>
      </c>
      <c r="J25" s="97"/>
      <c r="K25" s="97"/>
      <c r="L25" s="97"/>
      <c r="M25" s="97"/>
      <c r="N25" s="97"/>
    </row>
    <row r="26" spans="1:14" s="86" customFormat="1" ht="14.25">
      <c r="A26" s="99"/>
      <c r="B26" s="95"/>
      <c r="C26" s="100" t="s">
        <v>1093</v>
      </c>
      <c r="D26" s="101">
        <v>0.05</v>
      </c>
      <c r="E26" s="96">
        <f>ROUND(E25*D26,2)</f>
        <v>8416.42</v>
      </c>
      <c r="F26" s="102"/>
      <c r="G26" s="102"/>
      <c r="H26" s="102"/>
      <c r="I26" s="102"/>
      <c r="J26" s="97"/>
      <c r="K26" s="97"/>
      <c r="L26" s="97"/>
      <c r="M26" s="97"/>
      <c r="N26" s="97"/>
    </row>
    <row r="27" spans="1:14" s="86" customFormat="1" ht="14.25">
      <c r="A27" s="103"/>
      <c r="B27" s="94"/>
      <c r="C27" s="104" t="s">
        <v>1094</v>
      </c>
      <c r="D27" s="105">
        <v>0.04</v>
      </c>
      <c r="E27" s="106">
        <f>ROUND(E26*D27,2)</f>
        <v>336.66</v>
      </c>
      <c r="F27" s="102"/>
      <c r="G27" s="102"/>
      <c r="H27" s="102"/>
      <c r="I27" s="102"/>
      <c r="J27" s="97"/>
      <c r="K27" s="97"/>
      <c r="L27" s="97"/>
      <c r="M27" s="97"/>
      <c r="N27" s="97"/>
    </row>
    <row r="28" spans="1:14" s="86" customFormat="1" ht="14.25">
      <c r="A28" s="99"/>
      <c r="B28" s="95"/>
      <c r="C28" s="100" t="s">
        <v>1095</v>
      </c>
      <c r="D28" s="101">
        <v>0.03</v>
      </c>
      <c r="E28" s="96">
        <f>ROUND(E25*D28,2)</f>
        <v>5049.8500000000004</v>
      </c>
      <c r="F28" s="102"/>
      <c r="G28" s="102"/>
      <c r="H28" s="102"/>
      <c r="I28" s="102"/>
      <c r="J28" s="97"/>
      <c r="K28" s="97"/>
      <c r="L28" s="97"/>
      <c r="M28" s="97"/>
      <c r="N28" s="97"/>
    </row>
    <row r="29" spans="1:14" s="86" customFormat="1" ht="15">
      <c r="A29" s="107"/>
      <c r="B29" s="108"/>
      <c r="C29" s="297" t="s">
        <v>1096</v>
      </c>
      <c r="D29" s="298"/>
      <c r="E29" s="98">
        <f>SUM(E25+E26+E28)</f>
        <v>181794.67</v>
      </c>
      <c r="F29" s="102"/>
      <c r="G29" s="102"/>
      <c r="H29" s="102"/>
      <c r="I29" s="102"/>
      <c r="J29" s="97"/>
      <c r="K29" s="97"/>
      <c r="L29" s="97"/>
      <c r="M29" s="97"/>
      <c r="N29" s="97"/>
    </row>
    <row r="30" spans="1:14">
      <c r="A30" s="109"/>
      <c r="B30" s="110"/>
      <c r="C30" s="109"/>
      <c r="D30" s="109"/>
      <c r="E30" s="111"/>
      <c r="F30" s="111"/>
      <c r="G30" s="111"/>
      <c r="H30" s="111"/>
      <c r="I30" s="111"/>
      <c r="J30" s="112"/>
      <c r="K30" s="112"/>
      <c r="L30" s="112"/>
      <c r="M30" s="112"/>
      <c r="N30" s="112"/>
    </row>
    <row r="31" spans="1:14">
      <c r="A31" s="109"/>
      <c r="B31" s="110"/>
      <c r="C31" s="109"/>
      <c r="D31" s="109"/>
      <c r="E31" s="111"/>
      <c r="F31" s="111"/>
      <c r="G31" s="111"/>
      <c r="H31" s="111"/>
      <c r="I31" s="111"/>
      <c r="J31" s="112"/>
      <c r="K31" s="112"/>
      <c r="L31" s="112"/>
      <c r="M31" s="112"/>
      <c r="N31" s="112"/>
    </row>
    <row r="32" spans="1:14">
      <c r="A32" s="109"/>
      <c r="B32" s="110"/>
      <c r="C32" s="109"/>
      <c r="D32" s="109"/>
      <c r="E32" s="111"/>
      <c r="F32" s="111"/>
      <c r="G32" s="111"/>
      <c r="H32" s="111"/>
      <c r="I32" s="111"/>
      <c r="J32" s="112"/>
      <c r="K32" s="112"/>
      <c r="L32" s="112"/>
      <c r="M32" s="112"/>
      <c r="N32" s="112"/>
    </row>
    <row r="33" spans="2:14" ht="15">
      <c r="C33" s="114"/>
      <c r="D33" s="114"/>
      <c r="E33" s="111"/>
      <c r="F33" s="111"/>
      <c r="G33" s="111"/>
      <c r="H33" s="112"/>
      <c r="I33" s="112"/>
      <c r="J33" s="112"/>
      <c r="K33" s="112"/>
      <c r="L33" s="112"/>
      <c r="M33" s="112"/>
      <c r="N33" s="112"/>
    </row>
    <row r="34" spans="2:14" ht="15">
      <c r="C34" s="115" t="s">
        <v>1073</v>
      </c>
      <c r="D34" s="114"/>
      <c r="E34" s="111"/>
      <c r="F34" s="111"/>
      <c r="G34" s="111"/>
      <c r="H34" s="112"/>
      <c r="I34" s="112"/>
      <c r="J34" s="112"/>
      <c r="K34" s="112"/>
      <c r="L34" s="112"/>
      <c r="M34" s="112"/>
      <c r="N34" s="112"/>
    </row>
    <row r="35" spans="2:14" ht="15">
      <c r="C35" s="116" t="s">
        <v>1097</v>
      </c>
      <c r="D35" s="114"/>
      <c r="E35" s="111"/>
      <c r="F35" s="111"/>
      <c r="G35" s="111"/>
      <c r="H35" s="112"/>
      <c r="I35" s="112"/>
      <c r="J35" s="112"/>
      <c r="K35" s="112"/>
      <c r="L35" s="112"/>
      <c r="M35" s="112"/>
      <c r="N35" s="112"/>
    </row>
    <row r="36" spans="2:14" ht="15">
      <c r="C36" s="117" t="s">
        <v>1075</v>
      </c>
      <c r="D36" s="114"/>
      <c r="E36" s="111"/>
      <c r="F36" s="111"/>
      <c r="G36" s="111"/>
      <c r="H36" s="112"/>
      <c r="I36" s="112"/>
      <c r="J36" s="112"/>
      <c r="K36" s="112"/>
      <c r="L36" s="112"/>
      <c r="M36" s="112"/>
      <c r="N36" s="112"/>
    </row>
    <row r="37" spans="2:14" ht="15">
      <c r="C37" s="118"/>
      <c r="D37" s="114"/>
      <c r="E37" s="111"/>
      <c r="F37" s="111"/>
      <c r="G37" s="111"/>
      <c r="H37" s="112"/>
      <c r="I37" s="112"/>
      <c r="J37" s="112"/>
      <c r="K37" s="112"/>
      <c r="L37" s="112"/>
      <c r="M37" s="112"/>
      <c r="N37" s="112"/>
    </row>
    <row r="38" spans="2:14" ht="15">
      <c r="C38" s="115" t="s">
        <v>1076</v>
      </c>
      <c r="D38" s="114"/>
      <c r="E38" s="119"/>
      <c r="F38" s="119"/>
      <c r="G38" s="111"/>
      <c r="H38" s="120"/>
      <c r="I38" s="120"/>
      <c r="J38" s="112"/>
      <c r="K38" s="112"/>
      <c r="L38" s="112"/>
      <c r="M38" s="112"/>
      <c r="N38" s="112"/>
    </row>
    <row r="39" spans="2:14" ht="15">
      <c r="B39" s="49"/>
      <c r="C39" s="116" t="s">
        <v>1097</v>
      </c>
      <c r="D39" s="114"/>
      <c r="E39" s="119"/>
      <c r="F39" s="119"/>
      <c r="G39" s="119"/>
      <c r="H39" s="112"/>
      <c r="I39" s="112"/>
      <c r="J39" s="112"/>
      <c r="K39" s="112"/>
      <c r="L39" s="112"/>
      <c r="M39" s="112"/>
      <c r="N39" s="112"/>
    </row>
    <row r="40" spans="2:14" ht="15">
      <c r="C40" s="117" t="s">
        <v>1078</v>
      </c>
      <c r="D40" s="114"/>
      <c r="E40" s="119"/>
      <c r="F40" s="119"/>
      <c r="G40" s="119"/>
      <c r="H40" s="112"/>
      <c r="I40" s="112"/>
      <c r="J40" s="112"/>
      <c r="K40" s="112"/>
      <c r="L40" s="112"/>
      <c r="M40" s="112"/>
      <c r="N40" s="112"/>
    </row>
    <row r="41" spans="2:14" ht="15">
      <c r="C41" s="114"/>
      <c r="D41" s="114"/>
      <c r="E41" s="112"/>
      <c r="F41" s="112"/>
      <c r="G41" s="112"/>
      <c r="H41" s="112"/>
      <c r="I41" s="112"/>
      <c r="J41" s="112"/>
      <c r="K41" s="112"/>
      <c r="L41" s="112"/>
      <c r="M41" s="112"/>
    </row>
    <row r="42" spans="2:14" ht="15">
      <c r="C42" s="114"/>
      <c r="D42" s="114"/>
    </row>
    <row r="43" spans="2:14" ht="15">
      <c r="C43" s="114"/>
      <c r="D43" s="114"/>
    </row>
    <row r="44" spans="2:14" ht="15">
      <c r="C44" s="114"/>
      <c r="D44" s="114"/>
    </row>
    <row r="45" spans="2:14" ht="15">
      <c r="C45" s="114"/>
      <c r="D45" s="114"/>
    </row>
  </sheetData>
  <mergeCells count="17">
    <mergeCell ref="A1:I1"/>
    <mergeCell ref="A6:I6"/>
    <mergeCell ref="C9:D9"/>
    <mergeCell ref="C10:D10"/>
    <mergeCell ref="G11:H11"/>
    <mergeCell ref="I12:I13"/>
    <mergeCell ref="C24:D24"/>
    <mergeCell ref="A25:D25"/>
    <mergeCell ref="C29:D29"/>
    <mergeCell ref="A3:E3"/>
    <mergeCell ref="A4:E4"/>
    <mergeCell ref="A5:E5"/>
    <mergeCell ref="A12:A13"/>
    <mergeCell ref="B12:B13"/>
    <mergeCell ref="C12:D13"/>
    <mergeCell ref="E12:E13"/>
    <mergeCell ref="F12:H12"/>
  </mergeCells>
  <pageMargins left="0.78740157480314965" right="0.78740157480314965" top="0.98425196850393704" bottom="0.98425196850393704" header="0" footer="0"/>
  <pageSetup paperSize="9" scale="95"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R237"/>
  <sheetViews>
    <sheetView showZeros="0" topLeftCell="A226" zoomScale="90" zoomScaleNormal="90" workbookViewId="0">
      <selection activeCell="P229" sqref="P229"/>
    </sheetView>
  </sheetViews>
  <sheetFormatPr defaultColWidth="9.140625" defaultRowHeight="12.75"/>
  <cols>
    <col min="1" max="2" width="9.140625" style="121"/>
    <col min="3" max="3" width="63.5703125" style="121" customWidth="1"/>
    <col min="4" max="4" width="11.140625" style="121" bestFit="1" customWidth="1"/>
    <col min="5" max="5" width="10.42578125" style="121" customWidth="1"/>
    <col min="6" max="12" width="9.140625" style="121"/>
    <col min="13" max="14" width="10.140625" style="121" customWidth="1"/>
    <col min="15" max="15" width="10.5703125" style="121" customWidth="1"/>
    <col min="16" max="16" width="11.42578125" style="121" customWidth="1"/>
    <col min="17" max="16384" width="9.140625" style="121"/>
  </cols>
  <sheetData>
    <row r="2" spans="1:16">
      <c r="A2" s="313" t="s">
        <v>27</v>
      </c>
      <c r="B2" s="313"/>
      <c r="C2" s="313"/>
      <c r="D2" s="313"/>
      <c r="E2" s="313"/>
    </row>
    <row r="3" spans="1:16">
      <c r="A3" s="122"/>
      <c r="B3" s="122"/>
      <c r="C3" s="122"/>
      <c r="D3" s="122"/>
      <c r="E3" s="122"/>
    </row>
    <row r="4" spans="1:16">
      <c r="A4" s="314" t="s">
        <v>13</v>
      </c>
      <c r="B4" s="314"/>
      <c r="C4" s="314"/>
      <c r="D4" s="314"/>
      <c r="E4" s="314"/>
    </row>
    <row r="5" spans="1:16">
      <c r="A5" s="315" t="s">
        <v>25</v>
      </c>
      <c r="B5" s="315"/>
      <c r="C5" s="315"/>
      <c r="D5" s="315"/>
      <c r="E5" s="315"/>
    </row>
    <row r="6" spans="1:16">
      <c r="C6" s="123"/>
    </row>
    <row r="7" spans="1:16" s="124" customFormat="1">
      <c r="A7" s="281" t="s">
        <v>150</v>
      </c>
      <c r="B7" s="281"/>
      <c r="C7" s="281"/>
      <c r="D7" s="281"/>
      <c r="E7" s="281"/>
    </row>
    <row r="8" spans="1:16" s="124" customFormat="1" ht="12.75" customHeight="1">
      <c r="A8" s="281" t="s">
        <v>151</v>
      </c>
      <c r="B8" s="281"/>
      <c r="C8" s="281"/>
      <c r="D8" s="281"/>
      <c r="E8" s="281"/>
    </row>
    <row r="9" spans="1:16" s="124" customFormat="1">
      <c r="A9" s="282" t="s">
        <v>152</v>
      </c>
      <c r="B9" s="282"/>
      <c r="C9" s="282"/>
      <c r="D9" s="282"/>
      <c r="E9" s="282"/>
    </row>
    <row r="10" spans="1:16" s="124" customFormat="1" ht="15" customHeight="1">
      <c r="A10" s="124" t="s">
        <v>17</v>
      </c>
    </row>
    <row r="11" spans="1:16" s="124" customFormat="1">
      <c r="A11" s="125"/>
      <c r="B11" s="125"/>
      <c r="C11" s="125"/>
      <c r="D11" s="125"/>
      <c r="E11" s="125"/>
    </row>
    <row r="12" spans="1:16" s="124" customFormat="1" ht="15" customHeight="1">
      <c r="A12" s="282" t="s">
        <v>28</v>
      </c>
      <c r="B12" s="282"/>
      <c r="C12" s="282"/>
      <c r="D12" s="282"/>
      <c r="E12" s="282"/>
    </row>
    <row r="13" spans="1:16">
      <c r="C13" s="123"/>
    </row>
    <row r="14" spans="1:16">
      <c r="A14" s="316" t="s">
        <v>1</v>
      </c>
      <c r="B14" s="319"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20"/>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14</v>
      </c>
      <c r="B16" s="126"/>
      <c r="C16" s="14" t="s">
        <v>50</v>
      </c>
      <c r="D16" s="10"/>
      <c r="E16" s="10"/>
      <c r="F16" s="227"/>
      <c r="G16" s="227"/>
      <c r="H16" s="227"/>
      <c r="I16" s="227"/>
      <c r="J16" s="227"/>
      <c r="K16" s="227"/>
      <c r="L16" s="227"/>
      <c r="M16" s="227"/>
      <c r="N16" s="227"/>
      <c r="O16" s="227"/>
      <c r="P16" s="227"/>
    </row>
    <row r="17" spans="1:16">
      <c r="A17" s="127" t="s">
        <v>12</v>
      </c>
      <c r="B17" s="127"/>
      <c r="C17" s="128" t="s">
        <v>51</v>
      </c>
      <c r="D17" s="39"/>
      <c r="E17" s="10"/>
      <c r="F17" s="227"/>
      <c r="G17" s="227"/>
      <c r="H17" s="227"/>
      <c r="I17" s="227"/>
      <c r="J17" s="227"/>
      <c r="K17" s="227"/>
      <c r="L17" s="227"/>
      <c r="M17" s="227"/>
      <c r="N17" s="227"/>
      <c r="O17" s="227"/>
      <c r="P17" s="227"/>
    </row>
    <row r="18" spans="1:16">
      <c r="A18" s="129" t="s">
        <v>6</v>
      </c>
      <c r="B18" s="129"/>
      <c r="C18" s="11" t="s">
        <v>52</v>
      </c>
      <c r="D18" s="130" t="s">
        <v>18</v>
      </c>
      <c r="E18" s="131">
        <v>1</v>
      </c>
      <c r="F18" s="202">
        <v>1</v>
      </c>
      <c r="G18" s="203">
        <v>6</v>
      </c>
      <c r="H18" s="204">
        <f t="shared" ref="H18" si="0">ROUND(G18*F18,2)</f>
        <v>6</v>
      </c>
      <c r="I18" s="205">
        <v>80</v>
      </c>
      <c r="J18" s="206">
        <v>2</v>
      </c>
      <c r="K18" s="207">
        <f t="shared" ref="K18" si="1">SUM(H18:J18)</f>
        <v>88</v>
      </c>
      <c r="L18" s="204">
        <f t="shared" ref="L18" si="2">ROUND(F18*E18,2)</f>
        <v>1</v>
      </c>
      <c r="M18" s="207">
        <f t="shared" ref="M18" si="3">ROUND(H18*E18,2)</f>
        <v>6</v>
      </c>
      <c r="N18" s="204">
        <f t="shared" ref="N18" si="4">ROUND(I18*E18,2)</f>
        <v>80</v>
      </c>
      <c r="O18" s="204">
        <f t="shared" ref="O18" si="5">ROUND(J18*E18,2)</f>
        <v>2</v>
      </c>
      <c r="P18" s="204">
        <f t="shared" ref="P18" si="6">SUM(M18:O18)</f>
        <v>88</v>
      </c>
    </row>
    <row r="19" spans="1:16">
      <c r="A19" s="129" t="s">
        <v>7</v>
      </c>
      <c r="B19" s="129"/>
      <c r="C19" s="11" t="s">
        <v>53</v>
      </c>
      <c r="D19" s="130" t="s">
        <v>0</v>
      </c>
      <c r="E19" s="131">
        <v>110</v>
      </c>
      <c r="F19" s="202">
        <v>0.2</v>
      </c>
      <c r="G19" s="203">
        <v>6</v>
      </c>
      <c r="H19" s="204">
        <f t="shared" ref="H19:H81" si="7">ROUND(G19*F19,2)</f>
        <v>1.2</v>
      </c>
      <c r="I19" s="205"/>
      <c r="J19" s="206">
        <v>2</v>
      </c>
      <c r="K19" s="207">
        <f t="shared" ref="K19:K82" si="8">SUM(H19:J19)</f>
        <v>3.2</v>
      </c>
      <c r="L19" s="204">
        <f t="shared" ref="L19:L82" si="9">ROUND(F19*E19,2)</f>
        <v>22</v>
      </c>
      <c r="M19" s="207">
        <f t="shared" ref="M19:M82" si="10">ROUND(H19*E19,2)</f>
        <v>132</v>
      </c>
      <c r="N19" s="204">
        <f t="shared" ref="N19:N82" si="11">ROUND(I19*E19,2)</f>
        <v>0</v>
      </c>
      <c r="O19" s="204">
        <f t="shared" ref="O19:O82" si="12">ROUND(J19*E19,2)</f>
        <v>220</v>
      </c>
      <c r="P19" s="204">
        <f t="shared" ref="P19:P82" si="13">SUM(M19:O19)</f>
        <v>352</v>
      </c>
    </row>
    <row r="20" spans="1:16">
      <c r="A20" s="129" t="s">
        <v>8</v>
      </c>
      <c r="B20" s="129"/>
      <c r="C20" s="3" t="s">
        <v>54</v>
      </c>
      <c r="D20" s="130" t="s">
        <v>19</v>
      </c>
      <c r="E20" s="132">
        <v>1</v>
      </c>
      <c r="F20" s="202">
        <v>2</v>
      </c>
      <c r="G20" s="203">
        <v>6</v>
      </c>
      <c r="H20" s="204">
        <f t="shared" si="7"/>
        <v>12</v>
      </c>
      <c r="I20" s="205">
        <v>60</v>
      </c>
      <c r="J20" s="206">
        <v>1</v>
      </c>
      <c r="K20" s="207">
        <f t="shared" si="8"/>
        <v>73</v>
      </c>
      <c r="L20" s="204">
        <f t="shared" si="9"/>
        <v>2</v>
      </c>
      <c r="M20" s="207">
        <f t="shared" si="10"/>
        <v>12</v>
      </c>
      <c r="N20" s="204">
        <f t="shared" si="11"/>
        <v>60</v>
      </c>
      <c r="O20" s="204">
        <f t="shared" si="12"/>
        <v>1</v>
      </c>
      <c r="P20" s="204">
        <f t="shared" si="13"/>
        <v>73</v>
      </c>
    </row>
    <row r="21" spans="1:16">
      <c r="A21" s="129" t="s">
        <v>9</v>
      </c>
      <c r="B21" s="129"/>
      <c r="C21" s="3" t="s">
        <v>55</v>
      </c>
      <c r="D21" s="130" t="s">
        <v>18</v>
      </c>
      <c r="E21" s="132">
        <v>1</v>
      </c>
      <c r="F21" s="202">
        <v>1</v>
      </c>
      <c r="G21" s="203">
        <v>6</v>
      </c>
      <c r="H21" s="204">
        <f t="shared" si="7"/>
        <v>6</v>
      </c>
      <c r="I21" s="205">
        <v>40</v>
      </c>
      <c r="J21" s="206">
        <v>1</v>
      </c>
      <c r="K21" s="207">
        <f t="shared" si="8"/>
        <v>47</v>
      </c>
      <c r="L21" s="204">
        <f t="shared" si="9"/>
        <v>1</v>
      </c>
      <c r="M21" s="207">
        <f t="shared" si="10"/>
        <v>6</v>
      </c>
      <c r="N21" s="204">
        <f t="shared" si="11"/>
        <v>40</v>
      </c>
      <c r="O21" s="204">
        <f t="shared" si="12"/>
        <v>1</v>
      </c>
      <c r="P21" s="204">
        <f t="shared" si="13"/>
        <v>47</v>
      </c>
    </row>
    <row r="22" spans="1:16">
      <c r="A22" s="129" t="s">
        <v>10</v>
      </c>
      <c r="B22" s="129"/>
      <c r="C22" s="3" t="s">
        <v>56</v>
      </c>
      <c r="D22" s="6" t="s">
        <v>22</v>
      </c>
      <c r="E22" s="133">
        <v>5</v>
      </c>
      <c r="F22" s="202">
        <v>1</v>
      </c>
      <c r="G22" s="203">
        <v>6</v>
      </c>
      <c r="H22" s="204">
        <f t="shared" si="7"/>
        <v>6</v>
      </c>
      <c r="I22" s="205">
        <v>10</v>
      </c>
      <c r="J22" s="206">
        <v>0.2</v>
      </c>
      <c r="K22" s="207">
        <f t="shared" si="8"/>
        <v>16.2</v>
      </c>
      <c r="L22" s="204">
        <f t="shared" si="9"/>
        <v>5</v>
      </c>
      <c r="M22" s="207">
        <f t="shared" si="10"/>
        <v>30</v>
      </c>
      <c r="N22" s="204">
        <f t="shared" si="11"/>
        <v>50</v>
      </c>
      <c r="O22" s="204">
        <f t="shared" si="12"/>
        <v>1</v>
      </c>
      <c r="P22" s="204">
        <f t="shared" si="13"/>
        <v>81</v>
      </c>
    </row>
    <row r="23" spans="1:16">
      <c r="A23" s="129" t="s">
        <v>11</v>
      </c>
      <c r="B23" s="129"/>
      <c r="C23" s="3" t="s">
        <v>57</v>
      </c>
      <c r="D23" s="12" t="s">
        <v>22</v>
      </c>
      <c r="E23" s="133">
        <v>1</v>
      </c>
      <c r="F23" s="202">
        <v>10</v>
      </c>
      <c r="G23" s="203">
        <v>6</v>
      </c>
      <c r="H23" s="204">
        <f t="shared" si="7"/>
        <v>60</v>
      </c>
      <c r="I23" s="205">
        <v>150</v>
      </c>
      <c r="J23" s="206">
        <v>5</v>
      </c>
      <c r="K23" s="207">
        <f t="shared" si="8"/>
        <v>215</v>
      </c>
      <c r="L23" s="204">
        <f t="shared" si="9"/>
        <v>10</v>
      </c>
      <c r="M23" s="207">
        <f t="shared" si="10"/>
        <v>60</v>
      </c>
      <c r="N23" s="204">
        <f t="shared" si="11"/>
        <v>150</v>
      </c>
      <c r="O23" s="204">
        <f t="shared" si="12"/>
        <v>5</v>
      </c>
      <c r="P23" s="204">
        <f t="shared" si="13"/>
        <v>215</v>
      </c>
    </row>
    <row r="24" spans="1:16">
      <c r="A24" s="129" t="s">
        <v>58</v>
      </c>
      <c r="B24" s="129"/>
      <c r="C24" s="3" t="s">
        <v>59</v>
      </c>
      <c r="D24" s="12" t="s">
        <v>22</v>
      </c>
      <c r="E24" s="133">
        <v>1</v>
      </c>
      <c r="F24" s="202">
        <v>10</v>
      </c>
      <c r="G24" s="203">
        <v>6</v>
      </c>
      <c r="H24" s="204">
        <f t="shared" si="7"/>
        <v>60</v>
      </c>
      <c r="I24" s="205">
        <v>50</v>
      </c>
      <c r="J24" s="206">
        <v>2</v>
      </c>
      <c r="K24" s="207">
        <f t="shared" si="8"/>
        <v>112</v>
      </c>
      <c r="L24" s="204">
        <f t="shared" si="9"/>
        <v>10</v>
      </c>
      <c r="M24" s="207">
        <f t="shared" si="10"/>
        <v>60</v>
      </c>
      <c r="N24" s="204">
        <f t="shared" si="11"/>
        <v>50</v>
      </c>
      <c r="O24" s="204">
        <f t="shared" si="12"/>
        <v>2</v>
      </c>
      <c r="P24" s="204">
        <f t="shared" si="13"/>
        <v>112</v>
      </c>
    </row>
    <row r="25" spans="1:16" ht="25.5">
      <c r="A25" s="129" t="s">
        <v>60</v>
      </c>
      <c r="B25" s="129"/>
      <c r="C25" s="11" t="s">
        <v>61</v>
      </c>
      <c r="D25" s="130" t="s">
        <v>22</v>
      </c>
      <c r="E25" s="131">
        <v>1</v>
      </c>
      <c r="F25" s="202">
        <v>2</v>
      </c>
      <c r="G25" s="203">
        <v>6</v>
      </c>
      <c r="H25" s="204">
        <f t="shared" si="7"/>
        <v>12</v>
      </c>
      <c r="I25" s="205"/>
      <c r="J25" s="206">
        <v>100</v>
      </c>
      <c r="K25" s="207">
        <f t="shared" si="8"/>
        <v>112</v>
      </c>
      <c r="L25" s="204">
        <f t="shared" si="9"/>
        <v>2</v>
      </c>
      <c r="M25" s="207">
        <f t="shared" si="10"/>
        <v>12</v>
      </c>
      <c r="N25" s="204">
        <f t="shared" si="11"/>
        <v>0</v>
      </c>
      <c r="O25" s="204">
        <f t="shared" si="12"/>
        <v>100</v>
      </c>
      <c r="P25" s="204">
        <f t="shared" si="13"/>
        <v>112</v>
      </c>
    </row>
    <row r="26" spans="1:16" ht="25.5">
      <c r="A26" s="129" t="s">
        <v>62</v>
      </c>
      <c r="B26" s="129"/>
      <c r="C26" s="11" t="s">
        <v>63</v>
      </c>
      <c r="D26" s="130" t="s">
        <v>22</v>
      </c>
      <c r="E26" s="131">
        <v>1</v>
      </c>
      <c r="F26" s="202">
        <v>2</v>
      </c>
      <c r="G26" s="203">
        <v>6</v>
      </c>
      <c r="H26" s="204">
        <f t="shared" si="7"/>
        <v>12</v>
      </c>
      <c r="I26" s="205"/>
      <c r="J26" s="206">
        <v>100</v>
      </c>
      <c r="K26" s="207">
        <f t="shared" si="8"/>
        <v>112</v>
      </c>
      <c r="L26" s="204">
        <f t="shared" si="9"/>
        <v>2</v>
      </c>
      <c r="M26" s="207">
        <f t="shared" si="10"/>
        <v>12</v>
      </c>
      <c r="N26" s="204">
        <f t="shared" si="11"/>
        <v>0</v>
      </c>
      <c r="O26" s="204">
        <f t="shared" si="12"/>
        <v>100</v>
      </c>
      <c r="P26" s="204">
        <f t="shared" si="13"/>
        <v>112</v>
      </c>
    </row>
    <row r="27" spans="1:16" ht="25.5">
      <c r="A27" s="129" t="s">
        <v>64</v>
      </c>
      <c r="B27" s="129"/>
      <c r="C27" s="11" t="s">
        <v>66</v>
      </c>
      <c r="D27" s="130" t="s">
        <v>22</v>
      </c>
      <c r="E27" s="131">
        <v>1</v>
      </c>
      <c r="F27" s="202">
        <v>2</v>
      </c>
      <c r="G27" s="203">
        <v>6</v>
      </c>
      <c r="H27" s="204">
        <f t="shared" si="7"/>
        <v>12</v>
      </c>
      <c r="I27" s="205"/>
      <c r="J27" s="206">
        <v>100</v>
      </c>
      <c r="K27" s="207">
        <f t="shared" si="8"/>
        <v>112</v>
      </c>
      <c r="L27" s="204">
        <f t="shared" si="9"/>
        <v>2</v>
      </c>
      <c r="M27" s="207">
        <f t="shared" si="10"/>
        <v>12</v>
      </c>
      <c r="N27" s="204">
        <f t="shared" si="11"/>
        <v>0</v>
      </c>
      <c r="O27" s="204">
        <f t="shared" si="12"/>
        <v>100</v>
      </c>
      <c r="P27" s="204">
        <f t="shared" si="13"/>
        <v>112</v>
      </c>
    </row>
    <row r="28" spans="1:16" ht="25.5">
      <c r="A28" s="129" t="s">
        <v>65</v>
      </c>
      <c r="B28" s="129"/>
      <c r="C28" s="11" t="s">
        <v>68</v>
      </c>
      <c r="D28" s="130" t="s">
        <v>22</v>
      </c>
      <c r="E28" s="131">
        <v>1</v>
      </c>
      <c r="F28" s="202">
        <v>2</v>
      </c>
      <c r="G28" s="203">
        <v>6</v>
      </c>
      <c r="H28" s="204">
        <f t="shared" si="7"/>
        <v>12</v>
      </c>
      <c r="I28" s="205"/>
      <c r="J28" s="206">
        <v>30</v>
      </c>
      <c r="K28" s="207">
        <f t="shared" si="8"/>
        <v>42</v>
      </c>
      <c r="L28" s="204">
        <f t="shared" si="9"/>
        <v>2</v>
      </c>
      <c r="M28" s="207">
        <f t="shared" si="10"/>
        <v>12</v>
      </c>
      <c r="N28" s="204">
        <f t="shared" si="11"/>
        <v>0</v>
      </c>
      <c r="O28" s="204">
        <f t="shared" si="12"/>
        <v>30</v>
      </c>
      <c r="P28" s="204">
        <f t="shared" si="13"/>
        <v>42</v>
      </c>
    </row>
    <row r="29" spans="1:16">
      <c r="A29" s="129" t="s">
        <v>67</v>
      </c>
      <c r="B29" s="129"/>
      <c r="C29" s="3" t="s">
        <v>153</v>
      </c>
      <c r="D29" s="6" t="s">
        <v>19</v>
      </c>
      <c r="E29" s="132">
        <v>1</v>
      </c>
      <c r="F29" s="202">
        <v>3</v>
      </c>
      <c r="G29" s="203">
        <v>6</v>
      </c>
      <c r="H29" s="204">
        <f t="shared" si="7"/>
        <v>18</v>
      </c>
      <c r="I29" s="205"/>
      <c r="J29" s="206">
        <v>50</v>
      </c>
      <c r="K29" s="207">
        <f t="shared" si="8"/>
        <v>68</v>
      </c>
      <c r="L29" s="204">
        <f t="shared" si="9"/>
        <v>3</v>
      </c>
      <c r="M29" s="207">
        <f t="shared" si="10"/>
        <v>18</v>
      </c>
      <c r="N29" s="204">
        <f t="shared" si="11"/>
        <v>0</v>
      </c>
      <c r="O29" s="204">
        <f t="shared" si="12"/>
        <v>50</v>
      </c>
      <c r="P29" s="204">
        <f t="shared" si="13"/>
        <v>68</v>
      </c>
    </row>
    <row r="30" spans="1:16">
      <c r="A30" s="129" t="s">
        <v>69</v>
      </c>
      <c r="B30" s="129"/>
      <c r="C30" s="7" t="s">
        <v>71</v>
      </c>
      <c r="D30" s="130"/>
      <c r="E30" s="132"/>
      <c r="F30" s="202"/>
      <c r="G30" s="203">
        <v>6</v>
      </c>
      <c r="H30" s="204">
        <f t="shared" si="7"/>
        <v>0</v>
      </c>
      <c r="I30" s="205"/>
      <c r="J30" s="206"/>
      <c r="K30" s="207">
        <f t="shared" si="8"/>
        <v>0</v>
      </c>
      <c r="L30" s="204">
        <f t="shared" si="9"/>
        <v>0</v>
      </c>
      <c r="M30" s="207">
        <f t="shared" si="10"/>
        <v>0</v>
      </c>
      <c r="N30" s="204">
        <f t="shared" si="11"/>
        <v>0</v>
      </c>
      <c r="O30" s="204">
        <f t="shared" si="12"/>
        <v>0</v>
      </c>
      <c r="P30" s="204">
        <f t="shared" si="13"/>
        <v>0</v>
      </c>
    </row>
    <row r="31" spans="1:16">
      <c r="A31" s="129" t="s">
        <v>70</v>
      </c>
      <c r="B31" s="129"/>
      <c r="C31" s="11" t="s">
        <v>962</v>
      </c>
      <c r="D31" s="130" t="s">
        <v>73</v>
      </c>
      <c r="E31" s="131">
        <v>9</v>
      </c>
      <c r="F31" s="202"/>
      <c r="G31" s="203">
        <v>6</v>
      </c>
      <c r="H31" s="204">
        <f t="shared" si="7"/>
        <v>0</v>
      </c>
      <c r="I31" s="205"/>
      <c r="J31" s="206">
        <f>110*0.6</f>
        <v>66</v>
      </c>
      <c r="K31" s="207">
        <f t="shared" si="8"/>
        <v>66</v>
      </c>
      <c r="L31" s="204">
        <f t="shared" si="9"/>
        <v>0</v>
      </c>
      <c r="M31" s="207">
        <f t="shared" si="10"/>
        <v>0</v>
      </c>
      <c r="N31" s="204">
        <f t="shared" si="11"/>
        <v>0</v>
      </c>
      <c r="O31" s="204">
        <f t="shared" si="12"/>
        <v>594</v>
      </c>
      <c r="P31" s="204">
        <f t="shared" si="13"/>
        <v>594</v>
      </c>
    </row>
    <row r="32" spans="1:16">
      <c r="A32" s="129" t="s">
        <v>72</v>
      </c>
      <c r="B32" s="129"/>
      <c r="C32" s="11" t="s">
        <v>75</v>
      </c>
      <c r="D32" s="130" t="s">
        <v>73</v>
      </c>
      <c r="E32" s="131">
        <v>9</v>
      </c>
      <c r="F32" s="202"/>
      <c r="G32" s="203">
        <v>6</v>
      </c>
      <c r="H32" s="204">
        <f t="shared" si="7"/>
        <v>0</v>
      </c>
      <c r="I32" s="205"/>
      <c r="J32" s="206">
        <v>80</v>
      </c>
      <c r="K32" s="207">
        <f t="shared" si="8"/>
        <v>80</v>
      </c>
      <c r="L32" s="204">
        <f t="shared" si="9"/>
        <v>0</v>
      </c>
      <c r="M32" s="207">
        <f t="shared" si="10"/>
        <v>0</v>
      </c>
      <c r="N32" s="204">
        <f t="shared" si="11"/>
        <v>0</v>
      </c>
      <c r="O32" s="204">
        <f t="shared" si="12"/>
        <v>720</v>
      </c>
      <c r="P32" s="204">
        <f t="shared" si="13"/>
        <v>720</v>
      </c>
    </row>
    <row r="33" spans="1:16">
      <c r="A33" s="129" t="s">
        <v>74</v>
      </c>
      <c r="B33" s="129"/>
      <c r="C33" s="11" t="s">
        <v>90</v>
      </c>
      <c r="D33" s="130" t="s">
        <v>73</v>
      </c>
      <c r="E33" s="131">
        <v>9</v>
      </c>
      <c r="F33" s="202"/>
      <c r="G33" s="203">
        <v>6</v>
      </c>
      <c r="H33" s="204">
        <f t="shared" si="7"/>
        <v>0</v>
      </c>
      <c r="I33" s="205"/>
      <c r="J33" s="206">
        <v>80</v>
      </c>
      <c r="K33" s="207">
        <f t="shared" si="8"/>
        <v>80</v>
      </c>
      <c r="L33" s="204">
        <f t="shared" si="9"/>
        <v>0</v>
      </c>
      <c r="M33" s="207">
        <f t="shared" si="10"/>
        <v>0</v>
      </c>
      <c r="N33" s="204">
        <f t="shared" si="11"/>
        <v>0</v>
      </c>
      <c r="O33" s="204">
        <f t="shared" si="12"/>
        <v>720</v>
      </c>
      <c r="P33" s="204">
        <f t="shared" si="13"/>
        <v>720</v>
      </c>
    </row>
    <row r="34" spans="1:16">
      <c r="A34" s="129" t="s">
        <v>76</v>
      </c>
      <c r="B34" s="129"/>
      <c r="C34" s="11" t="s">
        <v>952</v>
      </c>
      <c r="D34" s="130" t="s">
        <v>73</v>
      </c>
      <c r="E34" s="131">
        <v>9</v>
      </c>
      <c r="F34" s="202"/>
      <c r="G34" s="203">
        <v>6</v>
      </c>
      <c r="H34" s="204">
        <f t="shared" si="7"/>
        <v>0</v>
      </c>
      <c r="I34" s="205"/>
      <c r="J34" s="206">
        <v>40</v>
      </c>
      <c r="K34" s="207">
        <f t="shared" si="8"/>
        <v>40</v>
      </c>
      <c r="L34" s="204">
        <f t="shared" si="9"/>
        <v>0</v>
      </c>
      <c r="M34" s="207">
        <f t="shared" si="10"/>
        <v>0</v>
      </c>
      <c r="N34" s="204">
        <f t="shared" si="11"/>
        <v>0</v>
      </c>
      <c r="O34" s="204">
        <f t="shared" si="12"/>
        <v>360</v>
      </c>
      <c r="P34" s="204">
        <f t="shared" si="13"/>
        <v>360</v>
      </c>
    </row>
    <row r="35" spans="1:16">
      <c r="A35" s="129" t="s">
        <v>77</v>
      </c>
      <c r="B35" s="129"/>
      <c r="C35" s="11" t="s">
        <v>80</v>
      </c>
      <c r="D35" s="130" t="s">
        <v>73</v>
      </c>
      <c r="E35" s="131">
        <v>9</v>
      </c>
      <c r="F35" s="202"/>
      <c r="G35" s="203">
        <v>6</v>
      </c>
      <c r="H35" s="204">
        <f t="shared" si="7"/>
        <v>0</v>
      </c>
      <c r="I35" s="205"/>
      <c r="J35" s="206">
        <v>60</v>
      </c>
      <c r="K35" s="207">
        <f t="shared" si="8"/>
        <v>60</v>
      </c>
      <c r="L35" s="204">
        <f t="shared" si="9"/>
        <v>0</v>
      </c>
      <c r="M35" s="207">
        <f t="shared" si="10"/>
        <v>0</v>
      </c>
      <c r="N35" s="204">
        <f t="shared" si="11"/>
        <v>0</v>
      </c>
      <c r="O35" s="204">
        <f t="shared" si="12"/>
        <v>540</v>
      </c>
      <c r="P35" s="204">
        <f t="shared" si="13"/>
        <v>540</v>
      </c>
    </row>
    <row r="36" spans="1:16">
      <c r="A36" s="129" t="s">
        <v>78</v>
      </c>
      <c r="B36" s="129"/>
      <c r="C36" s="11" t="s">
        <v>82</v>
      </c>
      <c r="D36" s="130" t="s">
        <v>73</v>
      </c>
      <c r="E36" s="131">
        <v>9</v>
      </c>
      <c r="F36" s="202">
        <v>20</v>
      </c>
      <c r="G36" s="203">
        <v>6</v>
      </c>
      <c r="H36" s="204">
        <f t="shared" si="7"/>
        <v>120</v>
      </c>
      <c r="I36" s="205"/>
      <c r="J36" s="206"/>
      <c r="K36" s="207">
        <f t="shared" si="8"/>
        <v>120</v>
      </c>
      <c r="L36" s="204">
        <f t="shared" si="9"/>
        <v>180</v>
      </c>
      <c r="M36" s="207">
        <f t="shared" si="10"/>
        <v>1080</v>
      </c>
      <c r="N36" s="204">
        <f t="shared" si="11"/>
        <v>0</v>
      </c>
      <c r="O36" s="204">
        <f t="shared" si="12"/>
        <v>0</v>
      </c>
      <c r="P36" s="204">
        <f t="shared" si="13"/>
        <v>1080</v>
      </c>
    </row>
    <row r="37" spans="1:16">
      <c r="A37" s="129" t="s">
        <v>79</v>
      </c>
      <c r="B37" s="129"/>
      <c r="C37" s="11" t="s">
        <v>84</v>
      </c>
      <c r="D37" s="130" t="s">
        <v>73</v>
      </c>
      <c r="E37" s="131">
        <v>9</v>
      </c>
      <c r="F37" s="202"/>
      <c r="G37" s="203">
        <v>6</v>
      </c>
      <c r="H37" s="204">
        <f t="shared" si="7"/>
        <v>0</v>
      </c>
      <c r="I37" s="205"/>
      <c r="J37" s="206">
        <v>30</v>
      </c>
      <c r="K37" s="207">
        <f t="shared" si="8"/>
        <v>30</v>
      </c>
      <c r="L37" s="204">
        <f t="shared" si="9"/>
        <v>0</v>
      </c>
      <c r="M37" s="207">
        <f t="shared" si="10"/>
        <v>0</v>
      </c>
      <c r="N37" s="204">
        <f t="shared" si="11"/>
        <v>0</v>
      </c>
      <c r="O37" s="204">
        <f t="shared" si="12"/>
        <v>270</v>
      </c>
      <c r="P37" s="204">
        <f t="shared" si="13"/>
        <v>270</v>
      </c>
    </row>
    <row r="38" spans="1:16">
      <c r="A38" s="129" t="s">
        <v>81</v>
      </c>
      <c r="B38" s="129"/>
      <c r="C38" s="11" t="s">
        <v>154</v>
      </c>
      <c r="D38" s="130" t="s">
        <v>73</v>
      </c>
      <c r="E38" s="131">
        <v>9</v>
      </c>
      <c r="F38" s="202"/>
      <c r="G38" s="203">
        <v>6</v>
      </c>
      <c r="H38" s="204">
        <f t="shared" si="7"/>
        <v>0</v>
      </c>
      <c r="I38" s="205"/>
      <c r="J38" s="206">
        <v>50</v>
      </c>
      <c r="K38" s="207">
        <f t="shared" si="8"/>
        <v>50</v>
      </c>
      <c r="L38" s="204">
        <f t="shared" si="9"/>
        <v>0</v>
      </c>
      <c r="M38" s="207">
        <f t="shared" si="10"/>
        <v>0</v>
      </c>
      <c r="N38" s="204">
        <f t="shared" si="11"/>
        <v>0</v>
      </c>
      <c r="O38" s="204">
        <f t="shared" si="12"/>
        <v>450</v>
      </c>
      <c r="P38" s="204">
        <f t="shared" si="13"/>
        <v>450</v>
      </c>
    </row>
    <row r="39" spans="1:16">
      <c r="A39" s="129" t="s">
        <v>83</v>
      </c>
      <c r="B39" s="129"/>
      <c r="C39" s="3" t="s">
        <v>86</v>
      </c>
      <c r="D39" s="130" t="s">
        <v>73</v>
      </c>
      <c r="E39" s="131">
        <v>9</v>
      </c>
      <c r="F39" s="202"/>
      <c r="G39" s="203">
        <v>6</v>
      </c>
      <c r="H39" s="204">
        <f t="shared" si="7"/>
        <v>0</v>
      </c>
      <c r="I39" s="205"/>
      <c r="J39" s="206">
        <v>40</v>
      </c>
      <c r="K39" s="207">
        <f t="shared" si="8"/>
        <v>40</v>
      </c>
      <c r="L39" s="204">
        <f t="shared" si="9"/>
        <v>0</v>
      </c>
      <c r="M39" s="207">
        <f t="shared" si="10"/>
        <v>0</v>
      </c>
      <c r="N39" s="204">
        <f t="shared" si="11"/>
        <v>0</v>
      </c>
      <c r="O39" s="204">
        <f t="shared" si="12"/>
        <v>360</v>
      </c>
      <c r="P39" s="204">
        <f t="shared" si="13"/>
        <v>360</v>
      </c>
    </row>
    <row r="40" spans="1:16">
      <c r="A40" s="129" t="s">
        <v>85</v>
      </c>
      <c r="B40" s="129"/>
      <c r="C40" s="3" t="s">
        <v>87</v>
      </c>
      <c r="D40" s="130" t="s">
        <v>73</v>
      </c>
      <c r="E40" s="131">
        <v>9</v>
      </c>
      <c r="F40" s="202"/>
      <c r="G40" s="203">
        <v>6</v>
      </c>
      <c r="H40" s="204">
        <f t="shared" si="7"/>
        <v>0</v>
      </c>
      <c r="I40" s="205"/>
      <c r="J40" s="206">
        <v>20</v>
      </c>
      <c r="K40" s="207">
        <f t="shared" si="8"/>
        <v>20</v>
      </c>
      <c r="L40" s="204">
        <f t="shared" si="9"/>
        <v>0</v>
      </c>
      <c r="M40" s="207">
        <f t="shared" si="10"/>
        <v>0</v>
      </c>
      <c r="N40" s="204">
        <f t="shared" si="11"/>
        <v>0</v>
      </c>
      <c r="O40" s="204">
        <f t="shared" si="12"/>
        <v>180</v>
      </c>
      <c r="P40" s="204">
        <f t="shared" si="13"/>
        <v>180</v>
      </c>
    </row>
    <row r="41" spans="1:16">
      <c r="A41" s="126" t="s">
        <v>108</v>
      </c>
      <c r="B41" s="126"/>
      <c r="C41" s="46" t="s">
        <v>26</v>
      </c>
      <c r="D41" s="134"/>
      <c r="E41" s="131"/>
      <c r="F41" s="202"/>
      <c r="G41" s="203">
        <v>6</v>
      </c>
      <c r="H41" s="204">
        <f t="shared" si="7"/>
        <v>0</v>
      </c>
      <c r="I41" s="205"/>
      <c r="J41" s="206"/>
      <c r="K41" s="207">
        <f t="shared" si="8"/>
        <v>0</v>
      </c>
      <c r="L41" s="204">
        <f t="shared" si="9"/>
        <v>0</v>
      </c>
      <c r="M41" s="207">
        <f t="shared" si="10"/>
        <v>0</v>
      </c>
      <c r="N41" s="204">
        <f t="shared" si="11"/>
        <v>0</v>
      </c>
      <c r="O41" s="204">
        <f t="shared" si="12"/>
        <v>0</v>
      </c>
      <c r="P41" s="204">
        <f t="shared" si="13"/>
        <v>0</v>
      </c>
    </row>
    <row r="42" spans="1:16">
      <c r="A42" s="129" t="s">
        <v>948</v>
      </c>
      <c r="B42" s="129"/>
      <c r="C42" s="3" t="s">
        <v>155</v>
      </c>
      <c r="D42" s="134" t="s">
        <v>20</v>
      </c>
      <c r="E42" s="135">
        <v>166</v>
      </c>
      <c r="F42" s="202">
        <v>0.2</v>
      </c>
      <c r="G42" s="203">
        <v>6</v>
      </c>
      <c r="H42" s="204">
        <f t="shared" si="7"/>
        <v>1.2</v>
      </c>
      <c r="I42" s="205">
        <v>0.2</v>
      </c>
      <c r="J42" s="206">
        <v>1.5</v>
      </c>
      <c r="K42" s="207">
        <f t="shared" si="8"/>
        <v>2.9</v>
      </c>
      <c r="L42" s="204">
        <f t="shared" si="9"/>
        <v>33.200000000000003</v>
      </c>
      <c r="M42" s="207">
        <f t="shared" si="10"/>
        <v>199.2</v>
      </c>
      <c r="N42" s="204">
        <f t="shared" si="11"/>
        <v>33.200000000000003</v>
      </c>
      <c r="O42" s="204">
        <f t="shared" si="12"/>
        <v>249</v>
      </c>
      <c r="P42" s="204">
        <f t="shared" si="13"/>
        <v>481.4</v>
      </c>
    </row>
    <row r="43" spans="1:16" ht="14.25">
      <c r="A43" s="129" t="s">
        <v>949</v>
      </c>
      <c r="B43" s="129"/>
      <c r="C43" s="4" t="s">
        <v>156</v>
      </c>
      <c r="D43" s="17" t="s">
        <v>157</v>
      </c>
      <c r="E43" s="136">
        <v>73</v>
      </c>
      <c r="F43" s="202">
        <v>0.1</v>
      </c>
      <c r="G43" s="203">
        <v>6</v>
      </c>
      <c r="H43" s="204">
        <f t="shared" si="7"/>
        <v>0.6</v>
      </c>
      <c r="I43" s="205"/>
      <c r="J43" s="206">
        <v>5</v>
      </c>
      <c r="K43" s="207">
        <f t="shared" si="8"/>
        <v>5.6</v>
      </c>
      <c r="L43" s="204">
        <f t="shared" si="9"/>
        <v>7.3</v>
      </c>
      <c r="M43" s="207">
        <f t="shared" si="10"/>
        <v>43.8</v>
      </c>
      <c r="N43" s="204">
        <f t="shared" si="11"/>
        <v>0</v>
      </c>
      <c r="O43" s="204">
        <f t="shared" si="12"/>
        <v>365</v>
      </c>
      <c r="P43" s="204">
        <f t="shared" si="13"/>
        <v>408.8</v>
      </c>
    </row>
    <row r="44" spans="1:16">
      <c r="A44" s="129" t="s">
        <v>120</v>
      </c>
      <c r="B44" s="129"/>
      <c r="C44" s="2" t="s">
        <v>158</v>
      </c>
      <c r="D44" s="6" t="s">
        <v>16</v>
      </c>
      <c r="E44" s="137">
        <v>200</v>
      </c>
      <c r="F44" s="202">
        <v>0.1</v>
      </c>
      <c r="G44" s="203">
        <v>6</v>
      </c>
      <c r="H44" s="204">
        <f t="shared" si="7"/>
        <v>0.6</v>
      </c>
      <c r="I44" s="205"/>
      <c r="J44" s="206">
        <v>4</v>
      </c>
      <c r="K44" s="207">
        <f t="shared" si="8"/>
        <v>4.5999999999999996</v>
      </c>
      <c r="L44" s="204">
        <f t="shared" si="9"/>
        <v>20</v>
      </c>
      <c r="M44" s="207">
        <f t="shared" si="10"/>
        <v>120</v>
      </c>
      <c r="N44" s="204">
        <f t="shared" si="11"/>
        <v>0</v>
      </c>
      <c r="O44" s="204">
        <f t="shared" si="12"/>
        <v>800</v>
      </c>
      <c r="P44" s="204">
        <f t="shared" si="13"/>
        <v>920</v>
      </c>
    </row>
    <row r="45" spans="1:16">
      <c r="A45" s="129" t="s">
        <v>121</v>
      </c>
      <c r="B45" s="129"/>
      <c r="C45" s="2" t="s">
        <v>159</v>
      </c>
      <c r="D45" s="6" t="s">
        <v>16</v>
      </c>
      <c r="E45" s="137">
        <v>27</v>
      </c>
      <c r="F45" s="202">
        <v>1.5</v>
      </c>
      <c r="G45" s="203">
        <v>6</v>
      </c>
      <c r="H45" s="204">
        <f t="shared" si="7"/>
        <v>9</v>
      </c>
      <c r="I45" s="205"/>
      <c r="J45" s="206"/>
      <c r="K45" s="207">
        <f t="shared" si="8"/>
        <v>9</v>
      </c>
      <c r="L45" s="204">
        <f t="shared" si="9"/>
        <v>40.5</v>
      </c>
      <c r="M45" s="207">
        <f t="shared" si="10"/>
        <v>243</v>
      </c>
      <c r="N45" s="204">
        <f t="shared" si="11"/>
        <v>0</v>
      </c>
      <c r="O45" s="204">
        <f t="shared" si="12"/>
        <v>0</v>
      </c>
      <c r="P45" s="204">
        <f t="shared" si="13"/>
        <v>243</v>
      </c>
    </row>
    <row r="46" spans="1:16" ht="25.5">
      <c r="A46" s="129" t="s">
        <v>122</v>
      </c>
      <c r="B46" s="129"/>
      <c r="C46" s="3" t="s">
        <v>160</v>
      </c>
      <c r="D46" s="6" t="s">
        <v>16</v>
      </c>
      <c r="E46" s="137">
        <v>130</v>
      </c>
      <c r="F46" s="202">
        <f>3/6</f>
        <v>0.5</v>
      </c>
      <c r="G46" s="203">
        <v>6</v>
      </c>
      <c r="H46" s="204">
        <f t="shared" si="7"/>
        <v>3</v>
      </c>
      <c r="I46" s="205">
        <v>8</v>
      </c>
      <c r="J46" s="206">
        <v>8</v>
      </c>
      <c r="K46" s="207">
        <f t="shared" si="8"/>
        <v>19</v>
      </c>
      <c r="L46" s="204">
        <f t="shared" si="9"/>
        <v>65</v>
      </c>
      <c r="M46" s="207">
        <f t="shared" si="10"/>
        <v>390</v>
      </c>
      <c r="N46" s="204">
        <f t="shared" si="11"/>
        <v>1040</v>
      </c>
      <c r="O46" s="204">
        <f t="shared" si="12"/>
        <v>1040</v>
      </c>
      <c r="P46" s="204">
        <f t="shared" si="13"/>
        <v>2470</v>
      </c>
    </row>
    <row r="47" spans="1:16" ht="25.5">
      <c r="A47" s="129" t="s">
        <v>123</v>
      </c>
      <c r="B47" s="129"/>
      <c r="C47" s="3" t="s">
        <v>161</v>
      </c>
      <c r="D47" s="6" t="s">
        <v>16</v>
      </c>
      <c r="E47" s="137">
        <v>34</v>
      </c>
      <c r="F47" s="202">
        <v>1.5</v>
      </c>
      <c r="G47" s="203">
        <v>6</v>
      </c>
      <c r="H47" s="204">
        <f t="shared" si="7"/>
        <v>9</v>
      </c>
      <c r="I47" s="205">
        <v>8</v>
      </c>
      <c r="J47" s="206">
        <v>3</v>
      </c>
      <c r="K47" s="207">
        <f t="shared" si="8"/>
        <v>20</v>
      </c>
      <c r="L47" s="204">
        <f t="shared" si="9"/>
        <v>51</v>
      </c>
      <c r="M47" s="207">
        <f t="shared" si="10"/>
        <v>306</v>
      </c>
      <c r="N47" s="204">
        <f t="shared" si="11"/>
        <v>272</v>
      </c>
      <c r="O47" s="204">
        <f t="shared" si="12"/>
        <v>102</v>
      </c>
      <c r="P47" s="204">
        <f t="shared" si="13"/>
        <v>680</v>
      </c>
    </row>
    <row r="48" spans="1:16" ht="25.5">
      <c r="A48" s="129" t="s">
        <v>124</v>
      </c>
      <c r="B48" s="129"/>
      <c r="C48" s="8" t="s">
        <v>46</v>
      </c>
      <c r="D48" s="6" t="s">
        <v>16</v>
      </c>
      <c r="E48" s="137">
        <v>284</v>
      </c>
      <c r="F48" s="202">
        <v>0.1</v>
      </c>
      <c r="G48" s="203">
        <v>6</v>
      </c>
      <c r="H48" s="204">
        <f t="shared" si="7"/>
        <v>0.6</v>
      </c>
      <c r="I48" s="205"/>
      <c r="J48" s="206">
        <v>4</v>
      </c>
      <c r="K48" s="207">
        <f t="shared" si="8"/>
        <v>4.5999999999999996</v>
      </c>
      <c r="L48" s="204">
        <f t="shared" si="9"/>
        <v>28.4</v>
      </c>
      <c r="M48" s="207">
        <f t="shared" si="10"/>
        <v>170.4</v>
      </c>
      <c r="N48" s="204">
        <f t="shared" si="11"/>
        <v>0</v>
      </c>
      <c r="O48" s="204">
        <f t="shared" si="12"/>
        <v>1136</v>
      </c>
      <c r="P48" s="204">
        <f t="shared" si="13"/>
        <v>1306.4000000000001</v>
      </c>
    </row>
    <row r="49" spans="1:18">
      <c r="A49" s="126" t="s">
        <v>109</v>
      </c>
      <c r="B49" s="126"/>
      <c r="C49" s="46" t="s">
        <v>162</v>
      </c>
      <c r="D49" s="134"/>
      <c r="E49" s="131"/>
      <c r="F49" s="202"/>
      <c r="G49" s="203">
        <v>6</v>
      </c>
      <c r="H49" s="204">
        <f t="shared" si="7"/>
        <v>0</v>
      </c>
      <c r="I49" s="205"/>
      <c r="J49" s="206"/>
      <c r="K49" s="207">
        <f t="shared" si="8"/>
        <v>0</v>
      </c>
      <c r="L49" s="204">
        <f t="shared" si="9"/>
        <v>0</v>
      </c>
      <c r="M49" s="207">
        <f t="shared" si="10"/>
        <v>0</v>
      </c>
      <c r="N49" s="204">
        <f t="shared" si="11"/>
        <v>0</v>
      </c>
      <c r="O49" s="204">
        <f t="shared" si="12"/>
        <v>0</v>
      </c>
      <c r="P49" s="204">
        <f t="shared" si="13"/>
        <v>0</v>
      </c>
    </row>
    <row r="50" spans="1:18">
      <c r="A50" s="129" t="s">
        <v>950</v>
      </c>
      <c r="B50" s="129"/>
      <c r="C50" s="8" t="s">
        <v>163</v>
      </c>
      <c r="D50" s="6" t="s">
        <v>16</v>
      </c>
      <c r="E50" s="135">
        <v>0.63</v>
      </c>
      <c r="F50" s="202">
        <v>10</v>
      </c>
      <c r="G50" s="203">
        <v>6</v>
      </c>
      <c r="H50" s="204">
        <f t="shared" si="7"/>
        <v>60</v>
      </c>
      <c r="I50" s="205"/>
      <c r="J50" s="206">
        <v>10</v>
      </c>
      <c r="K50" s="207">
        <f t="shared" si="8"/>
        <v>70</v>
      </c>
      <c r="L50" s="204">
        <f t="shared" si="9"/>
        <v>6.3</v>
      </c>
      <c r="M50" s="207">
        <f t="shared" si="10"/>
        <v>37.799999999999997</v>
      </c>
      <c r="N50" s="204">
        <f t="shared" si="11"/>
        <v>0</v>
      </c>
      <c r="O50" s="204">
        <f t="shared" si="12"/>
        <v>6.3</v>
      </c>
      <c r="P50" s="204">
        <f t="shared" si="13"/>
        <v>44.1</v>
      </c>
    </row>
    <row r="51" spans="1:18" ht="25.5">
      <c r="A51" s="129" t="s">
        <v>951</v>
      </c>
      <c r="B51" s="129"/>
      <c r="C51" s="11" t="s">
        <v>164</v>
      </c>
      <c r="D51" s="134" t="s">
        <v>20</v>
      </c>
      <c r="E51" s="131">
        <v>2.16</v>
      </c>
      <c r="F51" s="202">
        <v>2</v>
      </c>
      <c r="G51" s="203">
        <v>6</v>
      </c>
      <c r="H51" s="204">
        <f t="shared" si="7"/>
        <v>12</v>
      </c>
      <c r="I51" s="205"/>
      <c r="J51" s="206">
        <v>3</v>
      </c>
      <c r="K51" s="207">
        <f t="shared" si="8"/>
        <v>15</v>
      </c>
      <c r="L51" s="204">
        <f t="shared" si="9"/>
        <v>4.32</v>
      </c>
      <c r="M51" s="207">
        <f t="shared" si="10"/>
        <v>25.92</v>
      </c>
      <c r="N51" s="204">
        <f t="shared" si="11"/>
        <v>0</v>
      </c>
      <c r="O51" s="204">
        <f t="shared" si="12"/>
        <v>6.48</v>
      </c>
      <c r="P51" s="204">
        <f t="shared" si="13"/>
        <v>32.4</v>
      </c>
    </row>
    <row r="52" spans="1:18">
      <c r="A52" s="129" t="s">
        <v>295</v>
      </c>
      <c r="B52" s="129"/>
      <c r="C52" s="11" t="s">
        <v>165</v>
      </c>
      <c r="D52" s="134" t="s">
        <v>20</v>
      </c>
      <c r="E52" s="131">
        <v>9.5500000000000007</v>
      </c>
      <c r="F52" s="202">
        <v>1</v>
      </c>
      <c r="G52" s="203">
        <v>6</v>
      </c>
      <c r="H52" s="204">
        <f t="shared" si="7"/>
        <v>6</v>
      </c>
      <c r="I52" s="205"/>
      <c r="J52" s="206">
        <v>0.5</v>
      </c>
      <c r="K52" s="207">
        <f t="shared" si="8"/>
        <v>6.5</v>
      </c>
      <c r="L52" s="204">
        <f t="shared" si="9"/>
        <v>9.5500000000000007</v>
      </c>
      <c r="M52" s="207">
        <f t="shared" si="10"/>
        <v>57.3</v>
      </c>
      <c r="N52" s="204">
        <f t="shared" si="11"/>
        <v>0</v>
      </c>
      <c r="O52" s="204">
        <f t="shared" si="12"/>
        <v>4.78</v>
      </c>
      <c r="P52" s="204">
        <f t="shared" si="13"/>
        <v>62.08</v>
      </c>
    </row>
    <row r="53" spans="1:18">
      <c r="A53" s="129" t="s">
        <v>296</v>
      </c>
      <c r="B53" s="129"/>
      <c r="C53" s="11" t="s">
        <v>166</v>
      </c>
      <c r="D53" s="134" t="s">
        <v>20</v>
      </c>
      <c r="E53" s="131">
        <v>4.09</v>
      </c>
      <c r="F53" s="202">
        <v>1</v>
      </c>
      <c r="G53" s="203">
        <v>6</v>
      </c>
      <c r="H53" s="204">
        <f t="shared" si="7"/>
        <v>6</v>
      </c>
      <c r="I53" s="205"/>
      <c r="J53" s="206">
        <v>0.5</v>
      </c>
      <c r="K53" s="207">
        <f t="shared" si="8"/>
        <v>6.5</v>
      </c>
      <c r="L53" s="204">
        <f t="shared" si="9"/>
        <v>4.09</v>
      </c>
      <c r="M53" s="207">
        <f t="shared" si="10"/>
        <v>24.54</v>
      </c>
      <c r="N53" s="204">
        <f t="shared" si="11"/>
        <v>0</v>
      </c>
      <c r="O53" s="204">
        <f t="shared" si="12"/>
        <v>2.0499999999999998</v>
      </c>
      <c r="P53" s="204">
        <f t="shared" si="13"/>
        <v>26.59</v>
      </c>
    </row>
    <row r="54" spans="1:18">
      <c r="A54" s="129" t="s">
        <v>297</v>
      </c>
      <c r="B54" s="129"/>
      <c r="C54" s="11" t="s">
        <v>167</v>
      </c>
      <c r="D54" s="134" t="s">
        <v>20</v>
      </c>
      <c r="E54" s="131">
        <v>27.8</v>
      </c>
      <c r="F54" s="202">
        <v>0.3</v>
      </c>
      <c r="G54" s="203">
        <v>6</v>
      </c>
      <c r="H54" s="204">
        <f t="shared" si="7"/>
        <v>1.8</v>
      </c>
      <c r="I54" s="205"/>
      <c r="J54" s="206">
        <v>0.2</v>
      </c>
      <c r="K54" s="207">
        <f t="shared" si="8"/>
        <v>2</v>
      </c>
      <c r="L54" s="204">
        <f t="shared" si="9"/>
        <v>8.34</v>
      </c>
      <c r="M54" s="207">
        <f t="shared" si="10"/>
        <v>50.04</v>
      </c>
      <c r="N54" s="204">
        <f t="shared" si="11"/>
        <v>0</v>
      </c>
      <c r="O54" s="204">
        <f t="shared" si="12"/>
        <v>5.56</v>
      </c>
      <c r="P54" s="204">
        <f t="shared" si="13"/>
        <v>55.6</v>
      </c>
    </row>
    <row r="55" spans="1:18" ht="25.5">
      <c r="A55" s="129" t="s">
        <v>125</v>
      </c>
      <c r="B55" s="129"/>
      <c r="C55" s="11" t="s">
        <v>168</v>
      </c>
      <c r="D55" s="134" t="s">
        <v>20</v>
      </c>
      <c r="E55" s="131">
        <v>4.62</v>
      </c>
      <c r="F55" s="202">
        <v>2</v>
      </c>
      <c r="G55" s="203">
        <v>6</v>
      </c>
      <c r="H55" s="204">
        <f t="shared" si="7"/>
        <v>12</v>
      </c>
      <c r="I55" s="205"/>
      <c r="J55" s="206">
        <v>1</v>
      </c>
      <c r="K55" s="207">
        <f t="shared" si="8"/>
        <v>13</v>
      </c>
      <c r="L55" s="204">
        <f t="shared" si="9"/>
        <v>9.24</v>
      </c>
      <c r="M55" s="207">
        <f t="shared" si="10"/>
        <v>55.44</v>
      </c>
      <c r="N55" s="204">
        <f t="shared" si="11"/>
        <v>0</v>
      </c>
      <c r="O55" s="204">
        <f t="shared" si="12"/>
        <v>4.62</v>
      </c>
      <c r="P55" s="204">
        <f t="shared" si="13"/>
        <v>60.06</v>
      </c>
    </row>
    <row r="56" spans="1:18">
      <c r="A56" s="129" t="s">
        <v>126</v>
      </c>
      <c r="B56" s="129"/>
      <c r="C56" s="11" t="s">
        <v>169</v>
      </c>
      <c r="D56" s="134" t="s">
        <v>0</v>
      </c>
      <c r="E56" s="131">
        <v>4.7</v>
      </c>
      <c r="F56" s="202">
        <v>0.1</v>
      </c>
      <c r="G56" s="203">
        <v>6</v>
      </c>
      <c r="H56" s="204">
        <f t="shared" si="7"/>
        <v>0.6</v>
      </c>
      <c r="I56" s="205"/>
      <c r="J56" s="206">
        <v>0.1</v>
      </c>
      <c r="K56" s="207">
        <f t="shared" si="8"/>
        <v>0.7</v>
      </c>
      <c r="L56" s="204">
        <f t="shared" si="9"/>
        <v>0.47</v>
      </c>
      <c r="M56" s="207">
        <f t="shared" si="10"/>
        <v>2.82</v>
      </c>
      <c r="N56" s="204">
        <f t="shared" si="11"/>
        <v>0</v>
      </c>
      <c r="O56" s="204">
        <f t="shared" si="12"/>
        <v>0.47</v>
      </c>
      <c r="P56" s="204">
        <f t="shared" si="13"/>
        <v>3.29</v>
      </c>
    </row>
    <row r="57" spans="1:18">
      <c r="A57" s="126" t="s">
        <v>110</v>
      </c>
      <c r="B57" s="126"/>
      <c r="C57" s="46" t="s">
        <v>170</v>
      </c>
      <c r="D57" s="6"/>
      <c r="E57" s="135"/>
      <c r="F57" s="202"/>
      <c r="G57" s="203">
        <v>6</v>
      </c>
      <c r="H57" s="204">
        <f t="shared" si="7"/>
        <v>0</v>
      </c>
      <c r="I57" s="205"/>
      <c r="J57" s="206"/>
      <c r="K57" s="207">
        <f t="shared" si="8"/>
        <v>0</v>
      </c>
      <c r="L57" s="204">
        <f t="shared" si="9"/>
        <v>0</v>
      </c>
      <c r="M57" s="207">
        <f t="shared" si="10"/>
        <v>0</v>
      </c>
      <c r="N57" s="204">
        <f t="shared" si="11"/>
        <v>0</v>
      </c>
      <c r="O57" s="204">
        <f t="shared" si="12"/>
        <v>0</v>
      </c>
      <c r="P57" s="204">
        <f t="shared" si="13"/>
        <v>0</v>
      </c>
    </row>
    <row r="58" spans="1:18" ht="25.5">
      <c r="A58" s="129" t="s">
        <v>1005</v>
      </c>
      <c r="B58" s="129"/>
      <c r="C58" s="3" t="s">
        <v>1024</v>
      </c>
      <c r="D58" s="6" t="s">
        <v>16</v>
      </c>
      <c r="E58" s="133">
        <v>15</v>
      </c>
      <c r="F58" s="202">
        <v>1.5</v>
      </c>
      <c r="G58" s="203">
        <v>6</v>
      </c>
      <c r="H58" s="204">
        <f t="shared" ref="H58" si="14">ROUND(G58*F58,2)</f>
        <v>9</v>
      </c>
      <c r="I58" s="205">
        <v>8</v>
      </c>
      <c r="J58" s="206">
        <v>3</v>
      </c>
      <c r="K58" s="207">
        <f t="shared" si="8"/>
        <v>20</v>
      </c>
      <c r="L58" s="204">
        <f t="shared" si="9"/>
        <v>22.5</v>
      </c>
      <c r="M58" s="207">
        <f t="shared" si="10"/>
        <v>135</v>
      </c>
      <c r="N58" s="204">
        <f t="shared" si="11"/>
        <v>120</v>
      </c>
      <c r="O58" s="204">
        <f t="shared" si="12"/>
        <v>45</v>
      </c>
      <c r="P58" s="204">
        <f t="shared" si="13"/>
        <v>300</v>
      </c>
    </row>
    <row r="59" spans="1:18" ht="25.5">
      <c r="A59" s="129" t="s">
        <v>1006</v>
      </c>
      <c r="B59" s="129"/>
      <c r="C59" s="3" t="s">
        <v>1040</v>
      </c>
      <c r="D59" s="134" t="s">
        <v>20</v>
      </c>
      <c r="E59" s="133">
        <v>75</v>
      </c>
      <c r="F59" s="202">
        <v>0.2</v>
      </c>
      <c r="G59" s="203">
        <v>6</v>
      </c>
      <c r="H59" s="204">
        <f t="shared" si="7"/>
        <v>1.2</v>
      </c>
      <c r="I59" s="205">
        <v>1.2</v>
      </c>
      <c r="J59" s="206">
        <v>0.1</v>
      </c>
      <c r="K59" s="207">
        <f t="shared" si="8"/>
        <v>2.5</v>
      </c>
      <c r="L59" s="204">
        <f t="shared" si="9"/>
        <v>15</v>
      </c>
      <c r="M59" s="207">
        <f t="shared" si="10"/>
        <v>90</v>
      </c>
      <c r="N59" s="204">
        <f t="shared" si="11"/>
        <v>90</v>
      </c>
      <c r="O59" s="204">
        <f t="shared" si="12"/>
        <v>7.5</v>
      </c>
      <c r="P59" s="204">
        <f t="shared" si="13"/>
        <v>187.5</v>
      </c>
    </row>
    <row r="60" spans="1:18" ht="25.5">
      <c r="A60" s="129" t="s">
        <v>1007</v>
      </c>
      <c r="B60" s="129"/>
      <c r="C60" s="3" t="s">
        <v>171</v>
      </c>
      <c r="D60" s="6" t="s">
        <v>16</v>
      </c>
      <c r="E60" s="133">
        <v>12</v>
      </c>
      <c r="F60" s="202">
        <v>1.5</v>
      </c>
      <c r="G60" s="203">
        <v>6</v>
      </c>
      <c r="H60" s="204">
        <f t="shared" si="7"/>
        <v>9</v>
      </c>
      <c r="I60" s="205">
        <v>15</v>
      </c>
      <c r="J60" s="206">
        <v>4</v>
      </c>
      <c r="K60" s="207">
        <f t="shared" si="8"/>
        <v>28</v>
      </c>
      <c r="L60" s="204">
        <f t="shared" si="9"/>
        <v>18</v>
      </c>
      <c r="M60" s="207">
        <f t="shared" si="10"/>
        <v>108</v>
      </c>
      <c r="N60" s="204">
        <f t="shared" si="11"/>
        <v>180</v>
      </c>
      <c r="O60" s="204">
        <f t="shared" si="12"/>
        <v>48</v>
      </c>
      <c r="P60" s="204">
        <f t="shared" si="13"/>
        <v>336</v>
      </c>
    </row>
    <row r="61" spans="1:18">
      <c r="A61" s="129" t="s">
        <v>1008</v>
      </c>
      <c r="B61" s="129"/>
      <c r="C61" s="3" t="s">
        <v>172</v>
      </c>
      <c r="D61" s="134" t="s">
        <v>20</v>
      </c>
      <c r="E61" s="133">
        <v>240</v>
      </c>
      <c r="F61" s="202">
        <v>1.9</v>
      </c>
      <c r="G61" s="203">
        <v>6</v>
      </c>
      <c r="H61" s="204">
        <f t="shared" si="7"/>
        <v>11.4</v>
      </c>
      <c r="I61" s="205">
        <v>0.3</v>
      </c>
      <c r="J61" s="206">
        <v>7</v>
      </c>
      <c r="K61" s="207">
        <f t="shared" si="8"/>
        <v>18.7</v>
      </c>
      <c r="L61" s="204">
        <f t="shared" si="9"/>
        <v>456</v>
      </c>
      <c r="M61" s="207">
        <f t="shared" si="10"/>
        <v>2736</v>
      </c>
      <c r="N61" s="204">
        <f t="shared" si="11"/>
        <v>72</v>
      </c>
      <c r="O61" s="204">
        <f t="shared" si="12"/>
        <v>1680</v>
      </c>
      <c r="P61" s="204">
        <f t="shared" si="13"/>
        <v>4488</v>
      </c>
      <c r="R61" s="229"/>
    </row>
    <row r="62" spans="1:18" ht="25.5">
      <c r="A62" s="129" t="s">
        <v>1009</v>
      </c>
      <c r="B62" s="129"/>
      <c r="C62" s="3" t="s">
        <v>21</v>
      </c>
      <c r="D62" s="134" t="s">
        <v>4</v>
      </c>
      <c r="E62" s="133">
        <v>1583.4</v>
      </c>
      <c r="F62" s="202">
        <f>0.3/5</f>
        <v>0.06</v>
      </c>
      <c r="G62" s="203">
        <v>6</v>
      </c>
      <c r="H62" s="204">
        <f t="shared" si="7"/>
        <v>0.36</v>
      </c>
      <c r="I62" s="205">
        <v>1.1000000000000001</v>
      </c>
      <c r="J62" s="206">
        <v>0.1</v>
      </c>
      <c r="K62" s="207">
        <f t="shared" si="8"/>
        <v>1.56</v>
      </c>
      <c r="L62" s="204">
        <f t="shared" si="9"/>
        <v>95</v>
      </c>
      <c r="M62" s="207">
        <f t="shared" si="10"/>
        <v>570.02</v>
      </c>
      <c r="N62" s="204">
        <f t="shared" si="11"/>
        <v>1741.74</v>
      </c>
      <c r="O62" s="204">
        <f t="shared" si="12"/>
        <v>158.34</v>
      </c>
      <c r="P62" s="204">
        <f t="shared" si="13"/>
        <v>2470.1</v>
      </c>
    </row>
    <row r="63" spans="1:18">
      <c r="A63" s="129" t="s">
        <v>1010</v>
      </c>
      <c r="B63" s="129"/>
      <c r="C63" s="8" t="s">
        <v>173</v>
      </c>
      <c r="D63" s="6" t="s">
        <v>16</v>
      </c>
      <c r="E63" s="133">
        <v>37.57</v>
      </c>
      <c r="F63" s="202">
        <f>60/5</f>
        <v>12</v>
      </c>
      <c r="G63" s="203">
        <v>6</v>
      </c>
      <c r="H63" s="204">
        <f t="shared" si="7"/>
        <v>72</v>
      </c>
      <c r="I63" s="205">
        <v>70</v>
      </c>
      <c r="J63" s="206">
        <v>30</v>
      </c>
      <c r="K63" s="207">
        <f t="shared" si="8"/>
        <v>172</v>
      </c>
      <c r="L63" s="204">
        <f t="shared" si="9"/>
        <v>450.84</v>
      </c>
      <c r="M63" s="207">
        <f t="shared" si="10"/>
        <v>2705.04</v>
      </c>
      <c r="N63" s="204">
        <f t="shared" si="11"/>
        <v>2629.9</v>
      </c>
      <c r="O63" s="204">
        <f t="shared" si="12"/>
        <v>1127.0999999999999</v>
      </c>
      <c r="P63" s="204">
        <f t="shared" si="13"/>
        <v>6462.04</v>
      </c>
    </row>
    <row r="64" spans="1:18" ht="25.5">
      <c r="A64" s="129" t="s">
        <v>1011</v>
      </c>
      <c r="B64" s="129"/>
      <c r="C64" s="4" t="s">
        <v>174</v>
      </c>
      <c r="D64" s="12" t="s">
        <v>20</v>
      </c>
      <c r="E64" s="131">
        <v>23</v>
      </c>
      <c r="F64" s="202">
        <v>1</v>
      </c>
      <c r="G64" s="203">
        <v>6</v>
      </c>
      <c r="H64" s="204">
        <f t="shared" si="7"/>
        <v>6</v>
      </c>
      <c r="I64" s="205">
        <v>4</v>
      </c>
      <c r="J64" s="206">
        <v>0.3</v>
      </c>
      <c r="K64" s="207">
        <f t="shared" si="8"/>
        <v>10.3</v>
      </c>
      <c r="L64" s="204">
        <f t="shared" si="9"/>
        <v>23</v>
      </c>
      <c r="M64" s="207">
        <f t="shared" si="10"/>
        <v>138</v>
      </c>
      <c r="N64" s="204">
        <f t="shared" si="11"/>
        <v>92</v>
      </c>
      <c r="O64" s="204">
        <f t="shared" si="12"/>
        <v>6.9</v>
      </c>
      <c r="P64" s="204">
        <f t="shared" si="13"/>
        <v>236.9</v>
      </c>
    </row>
    <row r="65" spans="1:16" ht="25.5">
      <c r="A65" s="129" t="s">
        <v>1012</v>
      </c>
      <c r="B65" s="129"/>
      <c r="C65" s="8" t="s">
        <v>175</v>
      </c>
      <c r="D65" s="134" t="s">
        <v>20</v>
      </c>
      <c r="E65" s="131">
        <v>72.5</v>
      </c>
      <c r="F65" s="202">
        <v>0.5</v>
      </c>
      <c r="G65" s="203">
        <v>6</v>
      </c>
      <c r="H65" s="204">
        <f t="shared" si="7"/>
        <v>3</v>
      </c>
      <c r="I65" s="205">
        <v>3.2</v>
      </c>
      <c r="J65" s="206">
        <v>0.1</v>
      </c>
      <c r="K65" s="207">
        <f t="shared" si="8"/>
        <v>6.3</v>
      </c>
      <c r="L65" s="204">
        <f t="shared" si="9"/>
        <v>36.25</v>
      </c>
      <c r="M65" s="207">
        <f t="shared" si="10"/>
        <v>217.5</v>
      </c>
      <c r="N65" s="204">
        <f t="shared" si="11"/>
        <v>232</v>
      </c>
      <c r="O65" s="204">
        <f t="shared" si="12"/>
        <v>7.25</v>
      </c>
      <c r="P65" s="204">
        <f t="shared" si="13"/>
        <v>456.75</v>
      </c>
    </row>
    <row r="66" spans="1:16" ht="25.5">
      <c r="A66" s="129" t="s">
        <v>1013</v>
      </c>
      <c r="B66" s="129"/>
      <c r="C66" s="3" t="s">
        <v>176</v>
      </c>
      <c r="D66" s="134" t="s">
        <v>20</v>
      </c>
      <c r="E66" s="133">
        <v>47</v>
      </c>
      <c r="F66" s="202">
        <f>6/5</f>
        <v>1.2</v>
      </c>
      <c r="G66" s="203">
        <v>6</v>
      </c>
      <c r="H66" s="204">
        <f t="shared" si="7"/>
        <v>7.2</v>
      </c>
      <c r="I66" s="205">
        <v>11</v>
      </c>
      <c r="J66" s="206">
        <v>0.3</v>
      </c>
      <c r="K66" s="207">
        <f t="shared" si="8"/>
        <v>18.5</v>
      </c>
      <c r="L66" s="204">
        <f t="shared" si="9"/>
        <v>56.4</v>
      </c>
      <c r="M66" s="207">
        <f t="shared" si="10"/>
        <v>338.4</v>
      </c>
      <c r="N66" s="204">
        <f t="shared" si="11"/>
        <v>517</v>
      </c>
      <c r="O66" s="204">
        <f t="shared" si="12"/>
        <v>14.1</v>
      </c>
      <c r="P66" s="204">
        <f t="shared" si="13"/>
        <v>869.5</v>
      </c>
    </row>
    <row r="67" spans="1:16" ht="25.5">
      <c r="A67" s="129" t="s">
        <v>1014</v>
      </c>
      <c r="B67" s="129"/>
      <c r="C67" s="3" t="s">
        <v>960</v>
      </c>
      <c r="D67" s="134" t="s">
        <v>953</v>
      </c>
      <c r="E67" s="133">
        <v>75</v>
      </c>
      <c r="F67" s="202">
        <v>0.3</v>
      </c>
      <c r="G67" s="203">
        <v>6</v>
      </c>
      <c r="H67" s="204">
        <f t="shared" si="7"/>
        <v>1.8</v>
      </c>
      <c r="I67" s="205">
        <v>2.2000000000000002</v>
      </c>
      <c r="J67" s="206">
        <v>0.05</v>
      </c>
      <c r="K67" s="207">
        <f t="shared" si="8"/>
        <v>4.05</v>
      </c>
      <c r="L67" s="204">
        <f t="shared" si="9"/>
        <v>22.5</v>
      </c>
      <c r="M67" s="207">
        <f t="shared" si="10"/>
        <v>135</v>
      </c>
      <c r="N67" s="204">
        <f t="shared" si="11"/>
        <v>165</v>
      </c>
      <c r="O67" s="204">
        <f t="shared" si="12"/>
        <v>3.75</v>
      </c>
      <c r="P67" s="204">
        <f t="shared" si="13"/>
        <v>303.75</v>
      </c>
    </row>
    <row r="68" spans="1:16" ht="38.25">
      <c r="A68" s="129" t="s">
        <v>1015</v>
      </c>
      <c r="B68" s="129"/>
      <c r="C68" s="3" t="s">
        <v>177</v>
      </c>
      <c r="D68" s="134" t="s">
        <v>20</v>
      </c>
      <c r="E68" s="133">
        <v>1.3</v>
      </c>
      <c r="F68" s="202">
        <v>3</v>
      </c>
      <c r="G68" s="203">
        <v>6</v>
      </c>
      <c r="H68" s="204">
        <f t="shared" si="7"/>
        <v>18</v>
      </c>
      <c r="I68" s="205">
        <v>7</v>
      </c>
      <c r="J68" s="206">
        <v>0.5</v>
      </c>
      <c r="K68" s="207">
        <f t="shared" si="8"/>
        <v>25.5</v>
      </c>
      <c r="L68" s="204">
        <f t="shared" si="9"/>
        <v>3.9</v>
      </c>
      <c r="M68" s="207">
        <f t="shared" si="10"/>
        <v>23.4</v>
      </c>
      <c r="N68" s="204">
        <f t="shared" si="11"/>
        <v>9.1</v>
      </c>
      <c r="O68" s="204">
        <f t="shared" si="12"/>
        <v>0.65</v>
      </c>
      <c r="P68" s="204">
        <f t="shared" si="13"/>
        <v>33.15</v>
      </c>
    </row>
    <row r="69" spans="1:16">
      <c r="A69" s="126" t="s">
        <v>111</v>
      </c>
      <c r="B69" s="126"/>
      <c r="C69" s="46" t="s">
        <v>178</v>
      </c>
      <c r="D69" s="6"/>
      <c r="E69" s="133"/>
      <c r="F69" s="202"/>
      <c r="G69" s="203">
        <v>6</v>
      </c>
      <c r="H69" s="204">
        <f t="shared" si="7"/>
        <v>0</v>
      </c>
      <c r="I69" s="205"/>
      <c r="J69" s="206"/>
      <c r="K69" s="207">
        <f t="shared" si="8"/>
        <v>0</v>
      </c>
      <c r="L69" s="204">
        <f t="shared" si="9"/>
        <v>0</v>
      </c>
      <c r="M69" s="207">
        <f t="shared" si="10"/>
        <v>0</v>
      </c>
      <c r="N69" s="204">
        <f t="shared" si="11"/>
        <v>0</v>
      </c>
      <c r="O69" s="204">
        <f t="shared" si="12"/>
        <v>0</v>
      </c>
      <c r="P69" s="204">
        <f t="shared" si="13"/>
        <v>0</v>
      </c>
    </row>
    <row r="70" spans="1:16">
      <c r="A70" s="129" t="s">
        <v>298</v>
      </c>
      <c r="B70" s="129"/>
      <c r="C70" s="3" t="s">
        <v>179</v>
      </c>
      <c r="D70" s="18" t="s">
        <v>19</v>
      </c>
      <c r="E70" s="135">
        <v>1</v>
      </c>
      <c r="F70" s="202">
        <f>300*1.5/5</f>
        <v>90</v>
      </c>
      <c r="G70" s="203">
        <v>6</v>
      </c>
      <c r="H70" s="204">
        <f t="shared" si="7"/>
        <v>540</v>
      </c>
      <c r="I70" s="205">
        <f>300*0.5</f>
        <v>150</v>
      </c>
      <c r="J70" s="206">
        <f>300*2*1.5+150</f>
        <v>1050</v>
      </c>
      <c r="K70" s="207">
        <f t="shared" si="8"/>
        <v>1740</v>
      </c>
      <c r="L70" s="204">
        <f t="shared" si="9"/>
        <v>90</v>
      </c>
      <c r="M70" s="207">
        <f t="shared" si="10"/>
        <v>540</v>
      </c>
      <c r="N70" s="204">
        <f t="shared" si="11"/>
        <v>150</v>
      </c>
      <c r="O70" s="204">
        <f t="shared" si="12"/>
        <v>1050</v>
      </c>
      <c r="P70" s="204">
        <f t="shared" si="13"/>
        <v>1740</v>
      </c>
    </row>
    <row r="71" spans="1:16">
      <c r="A71" s="129" t="s">
        <v>299</v>
      </c>
      <c r="B71" s="129"/>
      <c r="C71" s="46" t="s">
        <v>180</v>
      </c>
      <c r="D71" s="6"/>
      <c r="E71" s="133"/>
      <c r="F71" s="202"/>
      <c r="G71" s="203">
        <v>6</v>
      </c>
      <c r="H71" s="204">
        <f t="shared" si="7"/>
        <v>0</v>
      </c>
      <c r="I71" s="205"/>
      <c r="J71" s="206"/>
      <c r="K71" s="207">
        <f t="shared" si="8"/>
        <v>0</v>
      </c>
      <c r="L71" s="204">
        <f t="shared" si="9"/>
        <v>0</v>
      </c>
      <c r="M71" s="207">
        <f t="shared" si="10"/>
        <v>0</v>
      </c>
      <c r="N71" s="204">
        <f t="shared" si="11"/>
        <v>0</v>
      </c>
      <c r="O71" s="204">
        <f t="shared" si="12"/>
        <v>0</v>
      </c>
      <c r="P71" s="204">
        <f t="shared" si="13"/>
        <v>0</v>
      </c>
    </row>
    <row r="72" spans="1:16" ht="25.5">
      <c r="A72" s="129" t="s">
        <v>300</v>
      </c>
      <c r="B72" s="129"/>
      <c r="C72" s="5" t="s">
        <v>929</v>
      </c>
      <c r="D72" s="6" t="s">
        <v>16</v>
      </c>
      <c r="E72" s="133">
        <v>16.82</v>
      </c>
      <c r="F72" s="202">
        <v>9</v>
      </c>
      <c r="G72" s="203">
        <v>6</v>
      </c>
      <c r="H72" s="204">
        <f t="shared" si="7"/>
        <v>54</v>
      </c>
      <c r="I72" s="205">
        <v>110</v>
      </c>
      <c r="J72" s="206">
        <v>3</v>
      </c>
      <c r="K72" s="207">
        <f t="shared" si="8"/>
        <v>167</v>
      </c>
      <c r="L72" s="204">
        <f t="shared" si="9"/>
        <v>151.38</v>
      </c>
      <c r="M72" s="207">
        <f t="shared" si="10"/>
        <v>908.28</v>
      </c>
      <c r="N72" s="204">
        <f t="shared" si="11"/>
        <v>1850.2</v>
      </c>
      <c r="O72" s="204">
        <f t="shared" si="12"/>
        <v>50.46</v>
      </c>
      <c r="P72" s="204">
        <f t="shared" si="13"/>
        <v>2808.94</v>
      </c>
    </row>
    <row r="73" spans="1:16" ht="25.5">
      <c r="A73" s="129" t="s">
        <v>301</v>
      </c>
      <c r="B73" s="129"/>
      <c r="C73" s="5" t="s">
        <v>930</v>
      </c>
      <c r="D73" s="6" t="s">
        <v>16</v>
      </c>
      <c r="E73" s="133">
        <v>48.36</v>
      </c>
      <c r="F73" s="202">
        <v>9</v>
      </c>
      <c r="G73" s="203">
        <v>6</v>
      </c>
      <c r="H73" s="204">
        <f t="shared" si="7"/>
        <v>54</v>
      </c>
      <c r="I73" s="205">
        <v>110</v>
      </c>
      <c r="J73" s="206">
        <v>3</v>
      </c>
      <c r="K73" s="207">
        <f t="shared" si="8"/>
        <v>167</v>
      </c>
      <c r="L73" s="204">
        <f t="shared" si="9"/>
        <v>435.24</v>
      </c>
      <c r="M73" s="207">
        <f t="shared" si="10"/>
        <v>2611.44</v>
      </c>
      <c r="N73" s="204">
        <f t="shared" si="11"/>
        <v>5319.6</v>
      </c>
      <c r="O73" s="204">
        <f t="shared" si="12"/>
        <v>145.08000000000001</v>
      </c>
      <c r="P73" s="204">
        <f t="shared" si="13"/>
        <v>8076.12</v>
      </c>
    </row>
    <row r="74" spans="1:16">
      <c r="A74" s="129" t="s">
        <v>302</v>
      </c>
      <c r="B74" s="129"/>
      <c r="C74" s="9" t="s">
        <v>181</v>
      </c>
      <c r="D74" s="6"/>
      <c r="E74" s="133"/>
      <c r="F74" s="202"/>
      <c r="G74" s="203">
        <v>6</v>
      </c>
      <c r="H74" s="204">
        <f t="shared" si="7"/>
        <v>0</v>
      </c>
      <c r="I74" s="205"/>
      <c r="J74" s="206"/>
      <c r="K74" s="207">
        <f t="shared" si="8"/>
        <v>0</v>
      </c>
      <c r="L74" s="204">
        <f t="shared" si="9"/>
        <v>0</v>
      </c>
      <c r="M74" s="207">
        <f t="shared" si="10"/>
        <v>0</v>
      </c>
      <c r="N74" s="204">
        <f t="shared" si="11"/>
        <v>0</v>
      </c>
      <c r="O74" s="204">
        <f t="shared" si="12"/>
        <v>0</v>
      </c>
      <c r="P74" s="204">
        <f t="shared" si="13"/>
        <v>0</v>
      </c>
    </row>
    <row r="75" spans="1:16">
      <c r="A75" s="129" t="s">
        <v>303</v>
      </c>
      <c r="B75" s="129"/>
      <c r="C75" s="3" t="s">
        <v>172</v>
      </c>
      <c r="D75" s="134" t="s">
        <v>20</v>
      </c>
      <c r="E75" s="133">
        <v>6</v>
      </c>
      <c r="F75" s="202">
        <v>3</v>
      </c>
      <c r="G75" s="203">
        <v>6</v>
      </c>
      <c r="H75" s="204">
        <f t="shared" ref="H75:H77" si="15">ROUND(G75*F75,2)</f>
        <v>18</v>
      </c>
      <c r="I75" s="205">
        <v>0.3</v>
      </c>
      <c r="J75" s="206">
        <v>7</v>
      </c>
      <c r="K75" s="207">
        <f t="shared" si="8"/>
        <v>25.3</v>
      </c>
      <c r="L75" s="204">
        <f t="shared" si="9"/>
        <v>18</v>
      </c>
      <c r="M75" s="207">
        <f t="shared" si="10"/>
        <v>108</v>
      </c>
      <c r="N75" s="204">
        <f t="shared" si="11"/>
        <v>1.8</v>
      </c>
      <c r="O75" s="204">
        <f t="shared" si="12"/>
        <v>42</v>
      </c>
      <c r="P75" s="204">
        <f t="shared" si="13"/>
        <v>151.80000000000001</v>
      </c>
    </row>
    <row r="76" spans="1:16" ht="25.5">
      <c r="A76" s="129" t="s">
        <v>304</v>
      </c>
      <c r="B76" s="129"/>
      <c r="C76" s="3" t="s">
        <v>21</v>
      </c>
      <c r="D76" s="134" t="s">
        <v>4</v>
      </c>
      <c r="E76" s="133">
        <v>53.04</v>
      </c>
      <c r="F76" s="202">
        <v>0.1</v>
      </c>
      <c r="G76" s="203">
        <v>6</v>
      </c>
      <c r="H76" s="204">
        <f t="shared" si="15"/>
        <v>0.6</v>
      </c>
      <c r="I76" s="205">
        <v>1.1000000000000001</v>
      </c>
      <c r="J76" s="206">
        <v>0.1</v>
      </c>
      <c r="K76" s="207">
        <f t="shared" si="8"/>
        <v>1.8</v>
      </c>
      <c r="L76" s="204">
        <f t="shared" si="9"/>
        <v>5.3</v>
      </c>
      <c r="M76" s="207">
        <f t="shared" si="10"/>
        <v>31.82</v>
      </c>
      <c r="N76" s="204">
        <f t="shared" si="11"/>
        <v>58.34</v>
      </c>
      <c r="O76" s="204">
        <f t="shared" si="12"/>
        <v>5.3</v>
      </c>
      <c r="P76" s="204">
        <f t="shared" si="13"/>
        <v>95.46</v>
      </c>
    </row>
    <row r="77" spans="1:16">
      <c r="A77" s="129" t="s">
        <v>305</v>
      </c>
      <c r="B77" s="129"/>
      <c r="C77" s="8" t="s">
        <v>173</v>
      </c>
      <c r="D77" s="6" t="s">
        <v>16</v>
      </c>
      <c r="E77" s="133">
        <v>0.7</v>
      </c>
      <c r="F77" s="202">
        <v>20</v>
      </c>
      <c r="G77" s="203">
        <v>6</v>
      </c>
      <c r="H77" s="204">
        <f t="shared" si="15"/>
        <v>120</v>
      </c>
      <c r="I77" s="205">
        <v>70</v>
      </c>
      <c r="J77" s="206">
        <v>30</v>
      </c>
      <c r="K77" s="207">
        <f t="shared" si="8"/>
        <v>220</v>
      </c>
      <c r="L77" s="204">
        <f t="shared" si="9"/>
        <v>14</v>
      </c>
      <c r="M77" s="207">
        <f t="shared" si="10"/>
        <v>84</v>
      </c>
      <c r="N77" s="204">
        <f t="shared" si="11"/>
        <v>49</v>
      </c>
      <c r="O77" s="204">
        <f t="shared" si="12"/>
        <v>21</v>
      </c>
      <c r="P77" s="204">
        <f t="shared" si="13"/>
        <v>154</v>
      </c>
    </row>
    <row r="78" spans="1:16">
      <c r="A78" s="129" t="s">
        <v>306</v>
      </c>
      <c r="B78" s="129"/>
      <c r="C78" s="9" t="s">
        <v>182</v>
      </c>
      <c r="D78" s="6"/>
      <c r="E78" s="133"/>
      <c r="F78" s="202"/>
      <c r="G78" s="203">
        <v>6</v>
      </c>
      <c r="H78" s="204">
        <f t="shared" si="7"/>
        <v>0</v>
      </c>
      <c r="I78" s="205"/>
      <c r="J78" s="206"/>
      <c r="K78" s="207">
        <f t="shared" si="8"/>
        <v>0</v>
      </c>
      <c r="L78" s="204">
        <f t="shared" si="9"/>
        <v>0</v>
      </c>
      <c r="M78" s="207">
        <f t="shared" si="10"/>
        <v>0</v>
      </c>
      <c r="N78" s="204">
        <f t="shared" si="11"/>
        <v>0</v>
      </c>
      <c r="O78" s="204">
        <f t="shared" si="12"/>
        <v>0</v>
      </c>
      <c r="P78" s="204">
        <f t="shared" si="13"/>
        <v>0</v>
      </c>
    </row>
    <row r="79" spans="1:16">
      <c r="A79" s="129" t="s">
        <v>307</v>
      </c>
      <c r="B79" s="129"/>
      <c r="C79" s="3" t="s">
        <v>172</v>
      </c>
      <c r="D79" s="134" t="s">
        <v>20</v>
      </c>
      <c r="E79" s="133">
        <v>9.1</v>
      </c>
      <c r="F79" s="202">
        <v>3</v>
      </c>
      <c r="G79" s="203">
        <v>6</v>
      </c>
      <c r="H79" s="204">
        <f t="shared" si="7"/>
        <v>18</v>
      </c>
      <c r="I79" s="205">
        <v>0.3</v>
      </c>
      <c r="J79" s="206">
        <v>7</v>
      </c>
      <c r="K79" s="207">
        <f t="shared" si="8"/>
        <v>25.3</v>
      </c>
      <c r="L79" s="204">
        <f t="shared" si="9"/>
        <v>27.3</v>
      </c>
      <c r="M79" s="207">
        <f t="shared" si="10"/>
        <v>163.80000000000001</v>
      </c>
      <c r="N79" s="204">
        <f t="shared" si="11"/>
        <v>2.73</v>
      </c>
      <c r="O79" s="204">
        <f t="shared" si="12"/>
        <v>63.7</v>
      </c>
      <c r="P79" s="204">
        <f t="shared" si="13"/>
        <v>230.23</v>
      </c>
    </row>
    <row r="80" spans="1:16" ht="25.5">
      <c r="A80" s="129" t="s">
        <v>308</v>
      </c>
      <c r="B80" s="129"/>
      <c r="C80" s="3" t="s">
        <v>21</v>
      </c>
      <c r="D80" s="134" t="s">
        <v>4</v>
      </c>
      <c r="E80" s="133">
        <v>61.58</v>
      </c>
      <c r="F80" s="202">
        <v>0.1</v>
      </c>
      <c r="G80" s="203">
        <v>6</v>
      </c>
      <c r="H80" s="204">
        <f t="shared" si="7"/>
        <v>0.6</v>
      </c>
      <c r="I80" s="205">
        <v>1.1000000000000001</v>
      </c>
      <c r="J80" s="206">
        <v>0.1</v>
      </c>
      <c r="K80" s="207">
        <f t="shared" si="8"/>
        <v>1.8</v>
      </c>
      <c r="L80" s="204">
        <f t="shared" si="9"/>
        <v>6.16</v>
      </c>
      <c r="M80" s="207">
        <f t="shared" si="10"/>
        <v>36.950000000000003</v>
      </c>
      <c r="N80" s="204">
        <f t="shared" si="11"/>
        <v>67.739999999999995</v>
      </c>
      <c r="O80" s="204">
        <f t="shared" si="12"/>
        <v>6.16</v>
      </c>
      <c r="P80" s="204">
        <f t="shared" si="13"/>
        <v>110.85</v>
      </c>
    </row>
    <row r="81" spans="1:16">
      <c r="A81" s="129" t="s">
        <v>309</v>
      </c>
      <c r="B81" s="129"/>
      <c r="C81" s="8" t="s">
        <v>173</v>
      </c>
      <c r="D81" s="6" t="s">
        <v>16</v>
      </c>
      <c r="E81" s="133">
        <v>1.1200000000000001</v>
      </c>
      <c r="F81" s="202">
        <v>20</v>
      </c>
      <c r="G81" s="203">
        <v>6</v>
      </c>
      <c r="H81" s="204">
        <f t="shared" si="7"/>
        <v>120</v>
      </c>
      <c r="I81" s="205">
        <v>70</v>
      </c>
      <c r="J81" s="206">
        <v>30</v>
      </c>
      <c r="K81" s="207">
        <f t="shared" si="8"/>
        <v>220</v>
      </c>
      <c r="L81" s="204">
        <f t="shared" si="9"/>
        <v>22.4</v>
      </c>
      <c r="M81" s="207">
        <f t="shared" si="10"/>
        <v>134.4</v>
      </c>
      <c r="N81" s="204">
        <f t="shared" si="11"/>
        <v>78.400000000000006</v>
      </c>
      <c r="O81" s="204">
        <f t="shared" si="12"/>
        <v>33.6</v>
      </c>
      <c r="P81" s="204">
        <f t="shared" si="13"/>
        <v>246.4</v>
      </c>
    </row>
    <row r="82" spans="1:16" ht="25.5">
      <c r="A82" s="129" t="s">
        <v>310</v>
      </c>
      <c r="B82" s="129"/>
      <c r="C82" s="4" t="s">
        <v>183</v>
      </c>
      <c r="D82" s="12" t="s">
        <v>20</v>
      </c>
      <c r="E82" s="131">
        <v>14</v>
      </c>
      <c r="F82" s="202">
        <v>1</v>
      </c>
      <c r="G82" s="203">
        <v>6</v>
      </c>
      <c r="H82" s="204">
        <f t="shared" ref="H82" si="16">ROUND(G82*F82,2)</f>
        <v>6</v>
      </c>
      <c r="I82" s="205">
        <v>4</v>
      </c>
      <c r="J82" s="206">
        <v>0.3</v>
      </c>
      <c r="K82" s="207">
        <f t="shared" si="8"/>
        <v>10.3</v>
      </c>
      <c r="L82" s="204">
        <f t="shared" si="9"/>
        <v>14</v>
      </c>
      <c r="M82" s="207">
        <f t="shared" si="10"/>
        <v>84</v>
      </c>
      <c r="N82" s="204">
        <f t="shared" si="11"/>
        <v>56</v>
      </c>
      <c r="O82" s="204">
        <f t="shared" si="12"/>
        <v>4.2</v>
      </c>
      <c r="P82" s="204">
        <f t="shared" si="13"/>
        <v>144.19999999999999</v>
      </c>
    </row>
    <row r="83" spans="1:16">
      <c r="A83" s="129" t="s">
        <v>311</v>
      </c>
      <c r="B83" s="129"/>
      <c r="C83" s="13" t="s">
        <v>184</v>
      </c>
      <c r="D83" s="12"/>
      <c r="E83" s="131"/>
      <c r="F83" s="202"/>
      <c r="G83" s="203">
        <v>6</v>
      </c>
      <c r="H83" s="204">
        <f t="shared" ref="H83:H146" si="17">ROUND(G83*F83,2)</f>
        <v>0</v>
      </c>
      <c r="I83" s="205"/>
      <c r="J83" s="206"/>
      <c r="K83" s="207">
        <f t="shared" ref="K83:K146" si="18">SUM(H83:J83)</f>
        <v>0</v>
      </c>
      <c r="L83" s="204">
        <f t="shared" ref="L83:L146" si="19">ROUND(F83*E83,2)</f>
        <v>0</v>
      </c>
      <c r="M83" s="207">
        <f t="shared" ref="M83:M146" si="20">ROUND(H83*E83,2)</f>
        <v>0</v>
      </c>
      <c r="N83" s="204">
        <f t="shared" ref="N83:N146" si="21">ROUND(I83*E83,2)</f>
        <v>0</v>
      </c>
      <c r="O83" s="204">
        <f t="shared" ref="O83:O146" si="22">ROUND(J83*E83,2)</f>
        <v>0</v>
      </c>
      <c r="P83" s="204">
        <f t="shared" ref="P83:P146" si="23">SUM(M83:O83)</f>
        <v>0</v>
      </c>
    </row>
    <row r="84" spans="1:16" ht="25.5">
      <c r="A84" s="129" t="s">
        <v>312</v>
      </c>
      <c r="B84" s="129"/>
      <c r="C84" s="41" t="s">
        <v>954</v>
      </c>
      <c r="D84" s="134" t="s">
        <v>22</v>
      </c>
      <c r="E84" s="133">
        <v>7</v>
      </c>
      <c r="F84" s="202">
        <v>2</v>
      </c>
      <c r="G84" s="203">
        <v>6</v>
      </c>
      <c r="H84" s="204">
        <f t="shared" si="17"/>
        <v>12</v>
      </c>
      <c r="I84" s="205">
        <v>93</v>
      </c>
      <c r="J84" s="206">
        <v>0.5</v>
      </c>
      <c r="K84" s="207">
        <f t="shared" si="18"/>
        <v>105.5</v>
      </c>
      <c r="L84" s="204">
        <f t="shared" si="19"/>
        <v>14</v>
      </c>
      <c r="M84" s="207">
        <f t="shared" si="20"/>
        <v>84</v>
      </c>
      <c r="N84" s="204">
        <f t="shared" si="21"/>
        <v>651</v>
      </c>
      <c r="O84" s="204">
        <f t="shared" si="22"/>
        <v>3.5</v>
      </c>
      <c r="P84" s="204">
        <f t="shared" si="23"/>
        <v>738.5</v>
      </c>
    </row>
    <row r="85" spans="1:16" ht="25.5">
      <c r="A85" s="129" t="s">
        <v>313</v>
      </c>
      <c r="B85" s="129"/>
      <c r="C85" s="41" t="s">
        <v>955</v>
      </c>
      <c r="D85" s="134" t="s">
        <v>22</v>
      </c>
      <c r="E85" s="133">
        <v>4</v>
      </c>
      <c r="F85" s="202">
        <v>2</v>
      </c>
      <c r="G85" s="203">
        <v>6</v>
      </c>
      <c r="H85" s="204">
        <f t="shared" ref="H85:H88" si="24">ROUND(G85*F85,2)</f>
        <v>12</v>
      </c>
      <c r="I85" s="205">
        <v>59</v>
      </c>
      <c r="J85" s="206">
        <v>0.5</v>
      </c>
      <c r="K85" s="207">
        <f t="shared" si="18"/>
        <v>71.5</v>
      </c>
      <c r="L85" s="204">
        <f t="shared" si="19"/>
        <v>8</v>
      </c>
      <c r="M85" s="207">
        <f t="shared" si="20"/>
        <v>48</v>
      </c>
      <c r="N85" s="204">
        <f t="shared" si="21"/>
        <v>236</v>
      </c>
      <c r="O85" s="204">
        <f t="shared" si="22"/>
        <v>2</v>
      </c>
      <c r="P85" s="204">
        <f t="shared" si="23"/>
        <v>286</v>
      </c>
    </row>
    <row r="86" spans="1:16" ht="25.5">
      <c r="A86" s="129" t="s">
        <v>127</v>
      </c>
      <c r="B86" s="129"/>
      <c r="C86" s="41" t="s">
        <v>956</v>
      </c>
      <c r="D86" s="134" t="s">
        <v>22</v>
      </c>
      <c r="E86" s="133">
        <v>6</v>
      </c>
      <c r="F86" s="202">
        <v>2</v>
      </c>
      <c r="G86" s="203">
        <v>6</v>
      </c>
      <c r="H86" s="204">
        <f t="shared" si="24"/>
        <v>12</v>
      </c>
      <c r="I86" s="205">
        <v>49</v>
      </c>
      <c r="J86" s="206">
        <v>0.5</v>
      </c>
      <c r="K86" s="207">
        <f t="shared" si="18"/>
        <v>61.5</v>
      </c>
      <c r="L86" s="204">
        <f t="shared" si="19"/>
        <v>12</v>
      </c>
      <c r="M86" s="207">
        <f t="shared" si="20"/>
        <v>72</v>
      </c>
      <c r="N86" s="204">
        <f t="shared" si="21"/>
        <v>294</v>
      </c>
      <c r="O86" s="204">
        <f t="shared" si="22"/>
        <v>3</v>
      </c>
      <c r="P86" s="204">
        <f t="shared" si="23"/>
        <v>369</v>
      </c>
    </row>
    <row r="87" spans="1:16" ht="25.5">
      <c r="A87" s="129" t="s">
        <v>128</v>
      </c>
      <c r="B87" s="129"/>
      <c r="C87" s="41" t="s">
        <v>958</v>
      </c>
      <c r="D87" s="134" t="s">
        <v>22</v>
      </c>
      <c r="E87" s="133">
        <v>1</v>
      </c>
      <c r="F87" s="202">
        <v>2</v>
      </c>
      <c r="G87" s="203">
        <v>6</v>
      </c>
      <c r="H87" s="204">
        <f t="shared" si="24"/>
        <v>12</v>
      </c>
      <c r="I87" s="205">
        <v>43</v>
      </c>
      <c r="J87" s="206">
        <v>0.5</v>
      </c>
      <c r="K87" s="207">
        <f t="shared" si="18"/>
        <v>55.5</v>
      </c>
      <c r="L87" s="204">
        <f t="shared" si="19"/>
        <v>2</v>
      </c>
      <c r="M87" s="207">
        <f t="shared" si="20"/>
        <v>12</v>
      </c>
      <c r="N87" s="204">
        <f t="shared" si="21"/>
        <v>43</v>
      </c>
      <c r="O87" s="204">
        <f t="shared" si="22"/>
        <v>0.5</v>
      </c>
      <c r="P87" s="204">
        <f t="shared" si="23"/>
        <v>55.5</v>
      </c>
    </row>
    <row r="88" spans="1:16" ht="25.5">
      <c r="A88" s="129" t="s">
        <v>129</v>
      </c>
      <c r="B88" s="129"/>
      <c r="C88" s="41" t="s">
        <v>957</v>
      </c>
      <c r="D88" s="134" t="s">
        <v>22</v>
      </c>
      <c r="E88" s="133">
        <v>1</v>
      </c>
      <c r="F88" s="202">
        <v>2</v>
      </c>
      <c r="G88" s="203">
        <v>6</v>
      </c>
      <c r="H88" s="204">
        <f t="shared" si="24"/>
        <v>12</v>
      </c>
      <c r="I88" s="205">
        <v>29</v>
      </c>
      <c r="J88" s="206">
        <v>0.5</v>
      </c>
      <c r="K88" s="207">
        <f t="shared" si="18"/>
        <v>41.5</v>
      </c>
      <c r="L88" s="204">
        <f t="shared" si="19"/>
        <v>2</v>
      </c>
      <c r="M88" s="207">
        <f t="shared" si="20"/>
        <v>12</v>
      </c>
      <c r="N88" s="204">
        <f t="shared" si="21"/>
        <v>29</v>
      </c>
      <c r="O88" s="204">
        <f t="shared" si="22"/>
        <v>0.5</v>
      </c>
      <c r="P88" s="204">
        <f t="shared" si="23"/>
        <v>41.5</v>
      </c>
    </row>
    <row r="89" spans="1:16" ht="38.25">
      <c r="A89" s="129" t="s">
        <v>130</v>
      </c>
      <c r="B89" s="129"/>
      <c r="C89" s="41" t="s">
        <v>959</v>
      </c>
      <c r="D89" s="134" t="s">
        <v>19</v>
      </c>
      <c r="E89" s="133">
        <v>1</v>
      </c>
      <c r="F89" s="202">
        <f>0.15*400/5</f>
        <v>12</v>
      </c>
      <c r="G89" s="203">
        <v>6</v>
      </c>
      <c r="H89" s="204">
        <f t="shared" si="17"/>
        <v>72</v>
      </c>
      <c r="I89" s="205">
        <f>0.15*400</f>
        <v>60</v>
      </c>
      <c r="J89" s="206">
        <v>2</v>
      </c>
      <c r="K89" s="207">
        <f t="shared" si="18"/>
        <v>134</v>
      </c>
      <c r="L89" s="204">
        <f t="shared" si="19"/>
        <v>12</v>
      </c>
      <c r="M89" s="207">
        <f t="shared" si="20"/>
        <v>72</v>
      </c>
      <c r="N89" s="204">
        <f t="shared" si="21"/>
        <v>60</v>
      </c>
      <c r="O89" s="204">
        <f t="shared" si="22"/>
        <v>2</v>
      </c>
      <c r="P89" s="204">
        <f t="shared" si="23"/>
        <v>134</v>
      </c>
    </row>
    <row r="90" spans="1:16">
      <c r="A90" s="129" t="s">
        <v>131</v>
      </c>
      <c r="B90" s="129"/>
      <c r="C90" s="9" t="s">
        <v>185</v>
      </c>
      <c r="D90" s="6"/>
      <c r="E90" s="133"/>
      <c r="F90" s="202"/>
      <c r="G90" s="203">
        <v>6</v>
      </c>
      <c r="H90" s="204">
        <f t="shared" si="17"/>
        <v>0</v>
      </c>
      <c r="I90" s="205"/>
      <c r="J90" s="206"/>
      <c r="K90" s="207">
        <f t="shared" si="18"/>
        <v>0</v>
      </c>
      <c r="L90" s="204">
        <f t="shared" si="19"/>
        <v>0</v>
      </c>
      <c r="M90" s="207">
        <f t="shared" si="20"/>
        <v>0</v>
      </c>
      <c r="N90" s="204">
        <f t="shared" si="21"/>
        <v>0</v>
      </c>
      <c r="O90" s="204">
        <f t="shared" si="22"/>
        <v>0</v>
      </c>
      <c r="P90" s="204">
        <f t="shared" si="23"/>
        <v>0</v>
      </c>
    </row>
    <row r="91" spans="1:16" ht="38.25">
      <c r="A91" s="129" t="s">
        <v>132</v>
      </c>
      <c r="B91" s="129"/>
      <c r="C91" s="4" t="s">
        <v>186</v>
      </c>
      <c r="D91" s="138" t="s">
        <v>20</v>
      </c>
      <c r="E91" s="139">
        <v>6.25</v>
      </c>
      <c r="F91" s="202">
        <v>2</v>
      </c>
      <c r="G91" s="203">
        <v>6</v>
      </c>
      <c r="H91" s="204">
        <f t="shared" si="17"/>
        <v>12</v>
      </c>
      <c r="I91" s="205">
        <v>11</v>
      </c>
      <c r="J91" s="206">
        <v>0.5</v>
      </c>
      <c r="K91" s="207">
        <f t="shared" si="18"/>
        <v>23.5</v>
      </c>
      <c r="L91" s="204">
        <f t="shared" si="19"/>
        <v>12.5</v>
      </c>
      <c r="M91" s="207">
        <f t="shared" si="20"/>
        <v>75</v>
      </c>
      <c r="N91" s="204">
        <f t="shared" si="21"/>
        <v>68.75</v>
      </c>
      <c r="O91" s="204">
        <f t="shared" si="22"/>
        <v>3.13</v>
      </c>
      <c r="P91" s="204">
        <f t="shared" si="23"/>
        <v>146.88</v>
      </c>
    </row>
    <row r="92" spans="1:16" ht="38.25">
      <c r="A92" s="129" t="s">
        <v>133</v>
      </c>
      <c r="B92" s="129"/>
      <c r="C92" s="4" t="s">
        <v>187</v>
      </c>
      <c r="D92" s="138" t="s">
        <v>20</v>
      </c>
      <c r="E92" s="139">
        <v>6.25</v>
      </c>
      <c r="F92" s="202">
        <v>2</v>
      </c>
      <c r="G92" s="203">
        <v>6</v>
      </c>
      <c r="H92" s="204">
        <f t="shared" si="17"/>
        <v>12</v>
      </c>
      <c r="I92" s="205">
        <v>6</v>
      </c>
      <c r="J92" s="206">
        <v>0.5</v>
      </c>
      <c r="K92" s="207">
        <f t="shared" si="18"/>
        <v>18.5</v>
      </c>
      <c r="L92" s="204">
        <f t="shared" si="19"/>
        <v>12.5</v>
      </c>
      <c r="M92" s="207">
        <f t="shared" si="20"/>
        <v>75</v>
      </c>
      <c r="N92" s="204">
        <f t="shared" si="21"/>
        <v>37.5</v>
      </c>
      <c r="O92" s="204">
        <f t="shared" si="22"/>
        <v>3.13</v>
      </c>
      <c r="P92" s="204">
        <f t="shared" si="23"/>
        <v>115.63</v>
      </c>
    </row>
    <row r="93" spans="1:16">
      <c r="A93" s="129" t="s">
        <v>134</v>
      </c>
      <c r="B93" s="129"/>
      <c r="C93" s="9" t="s">
        <v>188</v>
      </c>
      <c r="D93" s="6"/>
      <c r="E93" s="133"/>
      <c r="F93" s="202"/>
      <c r="G93" s="203">
        <v>6</v>
      </c>
      <c r="H93" s="204">
        <f t="shared" si="17"/>
        <v>0</v>
      </c>
      <c r="I93" s="205"/>
      <c r="J93" s="206"/>
      <c r="K93" s="207">
        <f t="shared" si="18"/>
        <v>0</v>
      </c>
      <c r="L93" s="204">
        <f t="shared" si="19"/>
        <v>0</v>
      </c>
      <c r="M93" s="207">
        <f t="shared" si="20"/>
        <v>0</v>
      </c>
      <c r="N93" s="204">
        <f t="shared" si="21"/>
        <v>0</v>
      </c>
      <c r="O93" s="204">
        <f t="shared" si="22"/>
        <v>0</v>
      </c>
      <c r="P93" s="204">
        <f t="shared" si="23"/>
        <v>0</v>
      </c>
    </row>
    <row r="94" spans="1:16" ht="38.25">
      <c r="A94" s="129" t="s">
        <v>135</v>
      </c>
      <c r="B94" s="129"/>
      <c r="C94" s="4" t="s">
        <v>189</v>
      </c>
      <c r="D94" s="138" t="s">
        <v>20</v>
      </c>
      <c r="E94" s="139">
        <v>2.4</v>
      </c>
      <c r="F94" s="202">
        <v>3</v>
      </c>
      <c r="G94" s="203">
        <v>6</v>
      </c>
      <c r="H94" s="204">
        <f t="shared" si="17"/>
        <v>18</v>
      </c>
      <c r="I94" s="205">
        <v>12</v>
      </c>
      <c r="J94" s="206">
        <v>1</v>
      </c>
      <c r="K94" s="207">
        <f t="shared" si="18"/>
        <v>31</v>
      </c>
      <c r="L94" s="204">
        <f t="shared" si="19"/>
        <v>7.2</v>
      </c>
      <c r="M94" s="207">
        <f t="shared" si="20"/>
        <v>43.2</v>
      </c>
      <c r="N94" s="204">
        <f t="shared" si="21"/>
        <v>28.8</v>
      </c>
      <c r="O94" s="204">
        <f t="shared" si="22"/>
        <v>2.4</v>
      </c>
      <c r="P94" s="204">
        <f t="shared" si="23"/>
        <v>74.400000000000006</v>
      </c>
    </row>
    <row r="95" spans="1:16" ht="38.25">
      <c r="A95" s="129" t="s">
        <v>136</v>
      </c>
      <c r="B95" s="129"/>
      <c r="C95" s="4" t="s">
        <v>190</v>
      </c>
      <c r="D95" s="138" t="s">
        <v>20</v>
      </c>
      <c r="E95" s="139">
        <v>2.4</v>
      </c>
      <c r="F95" s="202">
        <v>1</v>
      </c>
      <c r="G95" s="203">
        <v>6</v>
      </c>
      <c r="H95" s="204">
        <f t="shared" si="17"/>
        <v>6</v>
      </c>
      <c r="I95" s="205">
        <v>5</v>
      </c>
      <c r="J95" s="206">
        <v>0.5</v>
      </c>
      <c r="K95" s="207">
        <f t="shared" si="18"/>
        <v>11.5</v>
      </c>
      <c r="L95" s="204">
        <f t="shared" si="19"/>
        <v>2.4</v>
      </c>
      <c r="M95" s="207">
        <f t="shared" si="20"/>
        <v>14.4</v>
      </c>
      <c r="N95" s="204">
        <f t="shared" si="21"/>
        <v>12</v>
      </c>
      <c r="O95" s="204">
        <f t="shared" si="22"/>
        <v>1.2</v>
      </c>
      <c r="P95" s="204">
        <f t="shared" si="23"/>
        <v>27.6</v>
      </c>
    </row>
    <row r="96" spans="1:16" ht="38.25">
      <c r="A96" s="129" t="s">
        <v>137</v>
      </c>
      <c r="B96" s="129"/>
      <c r="C96" s="19" t="s">
        <v>191</v>
      </c>
      <c r="D96" s="138" t="s">
        <v>20</v>
      </c>
      <c r="E96" s="139">
        <v>2.4</v>
      </c>
      <c r="F96" s="202">
        <f>8/5</f>
        <v>1.6</v>
      </c>
      <c r="G96" s="203">
        <v>6</v>
      </c>
      <c r="H96" s="204">
        <f t="shared" si="17"/>
        <v>9.6</v>
      </c>
      <c r="I96" s="205">
        <v>1.8</v>
      </c>
      <c r="J96" s="206">
        <v>0.5</v>
      </c>
      <c r="K96" s="207">
        <f t="shared" si="18"/>
        <v>11.9</v>
      </c>
      <c r="L96" s="204">
        <f t="shared" si="19"/>
        <v>3.84</v>
      </c>
      <c r="M96" s="207">
        <f t="shared" si="20"/>
        <v>23.04</v>
      </c>
      <c r="N96" s="204">
        <f t="shared" si="21"/>
        <v>4.32</v>
      </c>
      <c r="O96" s="204">
        <f t="shared" si="22"/>
        <v>1.2</v>
      </c>
      <c r="P96" s="204">
        <f t="shared" si="23"/>
        <v>28.56</v>
      </c>
    </row>
    <row r="97" spans="1:16" ht="38.25">
      <c r="A97" s="129" t="s">
        <v>138</v>
      </c>
      <c r="B97" s="129"/>
      <c r="C97" s="19" t="s">
        <v>192</v>
      </c>
      <c r="D97" s="138" t="s">
        <v>20</v>
      </c>
      <c r="E97" s="139">
        <v>2.4</v>
      </c>
      <c r="F97" s="202">
        <f>3/5</f>
        <v>0.6</v>
      </c>
      <c r="G97" s="203">
        <v>6</v>
      </c>
      <c r="H97" s="204">
        <f t="shared" si="17"/>
        <v>3.6</v>
      </c>
      <c r="I97" s="205">
        <v>2.5</v>
      </c>
      <c r="J97" s="206">
        <v>0.2</v>
      </c>
      <c r="K97" s="207">
        <f t="shared" si="18"/>
        <v>6.3</v>
      </c>
      <c r="L97" s="204">
        <f t="shared" si="19"/>
        <v>1.44</v>
      </c>
      <c r="M97" s="207">
        <f t="shared" si="20"/>
        <v>8.64</v>
      </c>
      <c r="N97" s="204">
        <f t="shared" si="21"/>
        <v>6</v>
      </c>
      <c r="O97" s="204">
        <f t="shared" si="22"/>
        <v>0.48</v>
      </c>
      <c r="P97" s="204">
        <f t="shared" si="23"/>
        <v>15.12</v>
      </c>
    </row>
    <row r="98" spans="1:16">
      <c r="A98" s="129" t="s">
        <v>139</v>
      </c>
      <c r="B98" s="129"/>
      <c r="C98" s="9" t="s">
        <v>193</v>
      </c>
      <c r="D98" s="6"/>
      <c r="E98" s="133"/>
      <c r="F98" s="202"/>
      <c r="G98" s="203">
        <v>6</v>
      </c>
      <c r="H98" s="204">
        <f t="shared" si="17"/>
        <v>0</v>
      </c>
      <c r="I98" s="205"/>
      <c r="J98" s="206"/>
      <c r="K98" s="207">
        <f t="shared" si="18"/>
        <v>0</v>
      </c>
      <c r="L98" s="204">
        <f t="shared" si="19"/>
        <v>0</v>
      </c>
      <c r="M98" s="207">
        <f t="shared" si="20"/>
        <v>0</v>
      </c>
      <c r="N98" s="204">
        <f t="shared" si="21"/>
        <v>0</v>
      </c>
      <c r="O98" s="204">
        <f t="shared" si="22"/>
        <v>0</v>
      </c>
      <c r="P98" s="204">
        <f t="shared" si="23"/>
        <v>0</v>
      </c>
    </row>
    <row r="99" spans="1:16" ht="38.25">
      <c r="A99" s="129" t="s">
        <v>140</v>
      </c>
      <c r="B99" s="129"/>
      <c r="C99" s="4" t="s">
        <v>194</v>
      </c>
      <c r="D99" s="138" t="s">
        <v>20</v>
      </c>
      <c r="E99" s="139">
        <v>370.92</v>
      </c>
      <c r="F99" s="202">
        <v>1</v>
      </c>
      <c r="G99" s="203">
        <v>6</v>
      </c>
      <c r="H99" s="204">
        <f t="shared" si="17"/>
        <v>6</v>
      </c>
      <c r="I99" s="205">
        <v>3</v>
      </c>
      <c r="J99" s="206">
        <v>0.3</v>
      </c>
      <c r="K99" s="207">
        <f t="shared" si="18"/>
        <v>9.3000000000000007</v>
      </c>
      <c r="L99" s="204">
        <f t="shared" si="19"/>
        <v>370.92</v>
      </c>
      <c r="M99" s="207">
        <f t="shared" si="20"/>
        <v>2225.52</v>
      </c>
      <c r="N99" s="204">
        <f t="shared" si="21"/>
        <v>1112.76</v>
      </c>
      <c r="O99" s="204">
        <f t="shared" si="22"/>
        <v>111.28</v>
      </c>
      <c r="P99" s="204">
        <f t="shared" si="23"/>
        <v>3449.56</v>
      </c>
    </row>
    <row r="100" spans="1:16" ht="25.5">
      <c r="A100" s="129" t="s">
        <v>314</v>
      </c>
      <c r="B100" s="129"/>
      <c r="C100" s="4" t="s">
        <v>195</v>
      </c>
      <c r="D100" s="138" t="s">
        <v>20</v>
      </c>
      <c r="E100" s="139">
        <v>39.61</v>
      </c>
      <c r="F100" s="202">
        <f>18/5</f>
        <v>3.6</v>
      </c>
      <c r="G100" s="203">
        <v>6</v>
      </c>
      <c r="H100" s="204">
        <f t="shared" si="17"/>
        <v>21.6</v>
      </c>
      <c r="I100" s="205">
        <v>14</v>
      </c>
      <c r="J100" s="206">
        <v>0.3</v>
      </c>
      <c r="K100" s="207">
        <f t="shared" si="18"/>
        <v>35.9</v>
      </c>
      <c r="L100" s="204">
        <f t="shared" si="19"/>
        <v>142.6</v>
      </c>
      <c r="M100" s="207">
        <f t="shared" si="20"/>
        <v>855.58</v>
      </c>
      <c r="N100" s="204">
        <f t="shared" si="21"/>
        <v>554.54</v>
      </c>
      <c r="O100" s="204">
        <f t="shared" si="22"/>
        <v>11.88</v>
      </c>
      <c r="P100" s="204">
        <f t="shared" si="23"/>
        <v>1422</v>
      </c>
    </row>
    <row r="101" spans="1:16" ht="38.25">
      <c r="A101" s="129" t="s">
        <v>315</v>
      </c>
      <c r="B101" s="129"/>
      <c r="C101" s="19" t="s">
        <v>196</v>
      </c>
      <c r="D101" s="138" t="s">
        <v>20</v>
      </c>
      <c r="E101" s="140">
        <v>391.02</v>
      </c>
      <c r="F101" s="202">
        <v>1</v>
      </c>
      <c r="G101" s="203">
        <v>6</v>
      </c>
      <c r="H101" s="204">
        <f t="shared" ref="H101:H102" si="25">ROUND(G101*F101,2)</f>
        <v>6</v>
      </c>
      <c r="I101" s="205">
        <v>1.65</v>
      </c>
      <c r="J101" s="206">
        <v>0.2</v>
      </c>
      <c r="K101" s="207">
        <f t="shared" si="18"/>
        <v>7.85</v>
      </c>
      <c r="L101" s="204">
        <f t="shared" si="19"/>
        <v>391.02</v>
      </c>
      <c r="M101" s="207">
        <f t="shared" si="20"/>
        <v>2346.12</v>
      </c>
      <c r="N101" s="204">
        <f t="shared" si="21"/>
        <v>645.17999999999995</v>
      </c>
      <c r="O101" s="204">
        <f t="shared" si="22"/>
        <v>78.2</v>
      </c>
      <c r="P101" s="204">
        <f t="shared" si="23"/>
        <v>3069.5</v>
      </c>
    </row>
    <row r="102" spans="1:16" ht="25.5">
      <c r="A102" s="129" t="s">
        <v>316</v>
      </c>
      <c r="B102" s="129"/>
      <c r="C102" s="19" t="s">
        <v>197</v>
      </c>
      <c r="D102" s="138" t="s">
        <v>20</v>
      </c>
      <c r="E102" s="140">
        <v>391.02</v>
      </c>
      <c r="F102" s="202">
        <f>3/5</f>
        <v>0.6</v>
      </c>
      <c r="G102" s="203">
        <v>6</v>
      </c>
      <c r="H102" s="204">
        <f t="shared" si="25"/>
        <v>3.6</v>
      </c>
      <c r="I102" s="205">
        <f>4.5*0.4</f>
        <v>1.8</v>
      </c>
      <c r="J102" s="206">
        <v>0.2</v>
      </c>
      <c r="K102" s="207">
        <f t="shared" si="18"/>
        <v>5.6</v>
      </c>
      <c r="L102" s="204">
        <f t="shared" si="19"/>
        <v>234.61</v>
      </c>
      <c r="M102" s="207">
        <f t="shared" si="20"/>
        <v>1407.67</v>
      </c>
      <c r="N102" s="204">
        <f t="shared" si="21"/>
        <v>703.84</v>
      </c>
      <c r="O102" s="204">
        <f t="shared" si="22"/>
        <v>78.2</v>
      </c>
      <c r="P102" s="204">
        <f t="shared" si="23"/>
        <v>2189.71</v>
      </c>
    </row>
    <row r="103" spans="1:16" ht="51">
      <c r="A103" s="129" t="s">
        <v>317</v>
      </c>
      <c r="B103" s="129"/>
      <c r="C103" s="3" t="s">
        <v>198</v>
      </c>
      <c r="D103" s="6" t="s">
        <v>20</v>
      </c>
      <c r="E103" s="132">
        <v>47.1</v>
      </c>
      <c r="F103" s="202">
        <v>2.4</v>
      </c>
      <c r="G103" s="203">
        <v>6</v>
      </c>
      <c r="H103" s="204">
        <f t="shared" si="17"/>
        <v>14.4</v>
      </c>
      <c r="I103" s="205">
        <f>12.8*1.1+5</f>
        <v>19.079999999999998</v>
      </c>
      <c r="J103" s="206">
        <v>0.3</v>
      </c>
      <c r="K103" s="207">
        <f t="shared" si="18"/>
        <v>33.78</v>
      </c>
      <c r="L103" s="204">
        <f t="shared" si="19"/>
        <v>113.04</v>
      </c>
      <c r="M103" s="207">
        <f t="shared" si="20"/>
        <v>678.24</v>
      </c>
      <c r="N103" s="204">
        <f t="shared" si="21"/>
        <v>898.67</v>
      </c>
      <c r="O103" s="204">
        <f t="shared" si="22"/>
        <v>14.13</v>
      </c>
      <c r="P103" s="204">
        <f t="shared" si="23"/>
        <v>1591.04</v>
      </c>
    </row>
    <row r="104" spans="1:16" ht="25.5">
      <c r="A104" s="129" t="s">
        <v>318</v>
      </c>
      <c r="B104" s="129"/>
      <c r="C104" s="4" t="s">
        <v>199</v>
      </c>
      <c r="D104" s="138" t="s">
        <v>20</v>
      </c>
      <c r="E104" s="139">
        <v>11.34</v>
      </c>
      <c r="F104" s="231">
        <f>9/5</f>
        <v>1.8</v>
      </c>
      <c r="G104" s="203">
        <v>6</v>
      </c>
      <c r="H104" s="232">
        <f t="shared" si="17"/>
        <v>10.8</v>
      </c>
      <c r="I104" s="232">
        <f>13.65*1.2+1</f>
        <v>17.38</v>
      </c>
      <c r="J104" s="234">
        <v>0.5</v>
      </c>
      <c r="K104" s="207">
        <f t="shared" si="18"/>
        <v>28.68</v>
      </c>
      <c r="L104" s="204">
        <f t="shared" si="19"/>
        <v>20.41</v>
      </c>
      <c r="M104" s="207">
        <f t="shared" si="20"/>
        <v>122.47</v>
      </c>
      <c r="N104" s="204">
        <f t="shared" si="21"/>
        <v>197.09</v>
      </c>
      <c r="O104" s="204">
        <f t="shared" si="22"/>
        <v>5.67</v>
      </c>
      <c r="P104" s="204">
        <f t="shared" si="23"/>
        <v>325.23</v>
      </c>
    </row>
    <row r="105" spans="1:16" ht="51">
      <c r="A105" s="129" t="s">
        <v>319</v>
      </c>
      <c r="B105" s="129"/>
      <c r="C105" s="141" t="s">
        <v>200</v>
      </c>
      <c r="D105" s="138" t="s">
        <v>20</v>
      </c>
      <c r="E105" s="131">
        <v>11.34</v>
      </c>
      <c r="F105" s="202">
        <v>2</v>
      </c>
      <c r="G105" s="203">
        <v>6</v>
      </c>
      <c r="H105" s="204">
        <f t="shared" si="17"/>
        <v>12</v>
      </c>
      <c r="I105" s="205">
        <v>70</v>
      </c>
      <c r="J105" s="206">
        <v>0.5</v>
      </c>
      <c r="K105" s="207">
        <f t="shared" si="18"/>
        <v>82.5</v>
      </c>
      <c r="L105" s="204">
        <f t="shared" si="19"/>
        <v>22.68</v>
      </c>
      <c r="M105" s="207">
        <f t="shared" si="20"/>
        <v>136.08000000000001</v>
      </c>
      <c r="N105" s="204">
        <f t="shared" si="21"/>
        <v>793.8</v>
      </c>
      <c r="O105" s="204">
        <f t="shared" si="22"/>
        <v>5.67</v>
      </c>
      <c r="P105" s="204">
        <f t="shared" si="23"/>
        <v>935.55</v>
      </c>
    </row>
    <row r="106" spans="1:16" ht="76.5">
      <c r="A106" s="129" t="s">
        <v>320</v>
      </c>
      <c r="B106" s="129"/>
      <c r="C106" s="42" t="s">
        <v>972</v>
      </c>
      <c r="D106" s="142" t="s">
        <v>20</v>
      </c>
      <c r="E106" s="140">
        <v>7</v>
      </c>
      <c r="F106" s="202">
        <v>4</v>
      </c>
      <c r="G106" s="203">
        <v>6</v>
      </c>
      <c r="H106" s="204">
        <f t="shared" si="17"/>
        <v>24</v>
      </c>
      <c r="I106" s="205">
        <v>13.5</v>
      </c>
      <c r="J106" s="206">
        <v>1</v>
      </c>
      <c r="K106" s="207">
        <f t="shared" si="18"/>
        <v>38.5</v>
      </c>
      <c r="L106" s="204">
        <f t="shared" si="19"/>
        <v>28</v>
      </c>
      <c r="M106" s="207">
        <f t="shared" si="20"/>
        <v>168</v>
      </c>
      <c r="N106" s="204">
        <f t="shared" si="21"/>
        <v>94.5</v>
      </c>
      <c r="O106" s="204">
        <f t="shared" si="22"/>
        <v>7</v>
      </c>
      <c r="P106" s="204">
        <f t="shared" si="23"/>
        <v>269.5</v>
      </c>
    </row>
    <row r="107" spans="1:16" ht="76.5">
      <c r="A107" s="129" t="s">
        <v>973</v>
      </c>
      <c r="B107" s="129"/>
      <c r="C107" s="42" t="s">
        <v>1053</v>
      </c>
      <c r="D107" s="142" t="s">
        <v>20</v>
      </c>
      <c r="E107" s="140">
        <v>3.12</v>
      </c>
      <c r="F107" s="202">
        <v>4</v>
      </c>
      <c r="G107" s="203">
        <v>6</v>
      </c>
      <c r="H107" s="204">
        <f t="shared" si="17"/>
        <v>24</v>
      </c>
      <c r="I107" s="205">
        <v>18.600000000000001</v>
      </c>
      <c r="J107" s="206">
        <v>1</v>
      </c>
      <c r="K107" s="207">
        <f t="shared" si="18"/>
        <v>43.6</v>
      </c>
      <c r="L107" s="204">
        <f t="shared" si="19"/>
        <v>12.48</v>
      </c>
      <c r="M107" s="207">
        <f t="shared" si="20"/>
        <v>74.88</v>
      </c>
      <c r="N107" s="204">
        <f t="shared" si="21"/>
        <v>58.03</v>
      </c>
      <c r="O107" s="204">
        <f t="shared" si="22"/>
        <v>3.12</v>
      </c>
      <c r="P107" s="204">
        <f t="shared" si="23"/>
        <v>136.03</v>
      </c>
    </row>
    <row r="108" spans="1:16" ht="15">
      <c r="A108" s="129" t="s">
        <v>974</v>
      </c>
      <c r="B108" s="129"/>
      <c r="C108" s="13" t="s">
        <v>201</v>
      </c>
      <c r="D108" s="138"/>
      <c r="E108" s="139"/>
      <c r="F108" s="202"/>
      <c r="G108" s="203">
        <v>6</v>
      </c>
      <c r="H108" s="204">
        <f t="shared" si="17"/>
        <v>0</v>
      </c>
      <c r="I108" s="205"/>
      <c r="J108" s="206"/>
      <c r="K108" s="207">
        <f t="shared" si="18"/>
        <v>0</v>
      </c>
      <c r="L108" s="204">
        <f t="shared" si="19"/>
        <v>0</v>
      </c>
      <c r="M108" s="207">
        <f t="shared" si="20"/>
        <v>0</v>
      </c>
      <c r="N108" s="204">
        <f t="shared" si="21"/>
        <v>0</v>
      </c>
      <c r="O108" s="204">
        <f t="shared" si="22"/>
        <v>0</v>
      </c>
      <c r="P108" s="204">
        <f t="shared" si="23"/>
        <v>0</v>
      </c>
    </row>
    <row r="109" spans="1:16" ht="38.25">
      <c r="A109" s="129" t="s">
        <v>975</v>
      </c>
      <c r="B109" s="129"/>
      <c r="C109" s="4" t="s">
        <v>202</v>
      </c>
      <c r="D109" s="138" t="s">
        <v>20</v>
      </c>
      <c r="E109" s="139">
        <v>17.559999999999999</v>
      </c>
      <c r="F109" s="202">
        <f>7/5</f>
        <v>1.4</v>
      </c>
      <c r="G109" s="203">
        <v>6</v>
      </c>
      <c r="H109" s="204">
        <f t="shared" si="17"/>
        <v>8.4</v>
      </c>
      <c r="I109" s="205">
        <v>3</v>
      </c>
      <c r="J109" s="206">
        <v>0.3</v>
      </c>
      <c r="K109" s="207">
        <f t="shared" si="18"/>
        <v>11.7</v>
      </c>
      <c r="L109" s="204">
        <f t="shared" si="19"/>
        <v>24.58</v>
      </c>
      <c r="M109" s="207">
        <f t="shared" si="20"/>
        <v>147.5</v>
      </c>
      <c r="N109" s="204">
        <f t="shared" si="21"/>
        <v>52.68</v>
      </c>
      <c r="O109" s="204">
        <f t="shared" si="22"/>
        <v>5.27</v>
      </c>
      <c r="P109" s="204">
        <f t="shared" si="23"/>
        <v>205.45</v>
      </c>
    </row>
    <row r="110" spans="1:16" ht="25.5">
      <c r="A110" s="129" t="s">
        <v>976</v>
      </c>
      <c r="B110" s="129"/>
      <c r="C110" s="5" t="s">
        <v>203</v>
      </c>
      <c r="D110" s="134" t="s">
        <v>20</v>
      </c>
      <c r="E110" s="139">
        <v>17.559999999999999</v>
      </c>
      <c r="F110" s="202">
        <f>6/5</f>
        <v>1.2</v>
      </c>
      <c r="G110" s="203">
        <v>6</v>
      </c>
      <c r="H110" s="204">
        <f t="shared" si="17"/>
        <v>7.2</v>
      </c>
      <c r="I110" s="205">
        <v>1.65</v>
      </c>
      <c r="J110" s="206">
        <v>0.2</v>
      </c>
      <c r="K110" s="207">
        <f t="shared" si="18"/>
        <v>9.0500000000000007</v>
      </c>
      <c r="L110" s="204">
        <f t="shared" si="19"/>
        <v>21.07</v>
      </c>
      <c r="M110" s="207">
        <f t="shared" si="20"/>
        <v>126.43</v>
      </c>
      <c r="N110" s="204">
        <f t="shared" si="21"/>
        <v>28.97</v>
      </c>
      <c r="O110" s="204">
        <f t="shared" si="22"/>
        <v>3.51</v>
      </c>
      <c r="P110" s="204">
        <f t="shared" si="23"/>
        <v>158.91</v>
      </c>
    </row>
    <row r="111" spans="1:16" ht="25.5">
      <c r="A111" s="129" t="s">
        <v>977</v>
      </c>
      <c r="B111" s="129"/>
      <c r="C111" s="5" t="s">
        <v>204</v>
      </c>
      <c r="D111" s="134" t="s">
        <v>20</v>
      </c>
      <c r="E111" s="139">
        <v>17.559999999999999</v>
      </c>
      <c r="F111" s="202">
        <f>4/5</f>
        <v>0.8</v>
      </c>
      <c r="G111" s="203">
        <v>6</v>
      </c>
      <c r="H111" s="204">
        <f t="shared" si="17"/>
        <v>4.8</v>
      </c>
      <c r="I111" s="205">
        <v>1.8</v>
      </c>
      <c r="J111" s="206">
        <v>0.2</v>
      </c>
      <c r="K111" s="207">
        <f t="shared" si="18"/>
        <v>6.8</v>
      </c>
      <c r="L111" s="204">
        <f t="shared" si="19"/>
        <v>14.05</v>
      </c>
      <c r="M111" s="207">
        <f t="shared" si="20"/>
        <v>84.29</v>
      </c>
      <c r="N111" s="204">
        <f t="shared" si="21"/>
        <v>31.61</v>
      </c>
      <c r="O111" s="204">
        <f t="shared" si="22"/>
        <v>3.51</v>
      </c>
      <c r="P111" s="204">
        <f t="shared" si="23"/>
        <v>119.41</v>
      </c>
    </row>
    <row r="112" spans="1:16" ht="51">
      <c r="A112" s="129" t="s">
        <v>1016</v>
      </c>
      <c r="B112" s="129"/>
      <c r="C112" s="3" t="s">
        <v>205</v>
      </c>
      <c r="D112" s="6" t="s">
        <v>20</v>
      </c>
      <c r="E112" s="132">
        <v>4.1500000000000004</v>
      </c>
      <c r="F112" s="202">
        <f>20/5</f>
        <v>4</v>
      </c>
      <c r="G112" s="203">
        <v>6</v>
      </c>
      <c r="H112" s="204">
        <f t="shared" ref="H112" si="26">ROUND(G112*F112,2)</f>
        <v>24</v>
      </c>
      <c r="I112" s="205">
        <f>12.8*1.1+5</f>
        <v>19.079999999999998</v>
      </c>
      <c r="J112" s="206">
        <v>0.3</v>
      </c>
      <c r="K112" s="207">
        <f t="shared" si="18"/>
        <v>43.38</v>
      </c>
      <c r="L112" s="204">
        <f t="shared" si="19"/>
        <v>16.600000000000001</v>
      </c>
      <c r="M112" s="207">
        <f t="shared" si="20"/>
        <v>99.6</v>
      </c>
      <c r="N112" s="204">
        <f t="shared" si="21"/>
        <v>79.180000000000007</v>
      </c>
      <c r="O112" s="204">
        <f t="shared" si="22"/>
        <v>1.25</v>
      </c>
      <c r="P112" s="204">
        <f t="shared" si="23"/>
        <v>180.03</v>
      </c>
    </row>
    <row r="113" spans="1:16">
      <c r="A113" s="126" t="s">
        <v>141</v>
      </c>
      <c r="B113" s="126"/>
      <c r="C113" s="9" t="s">
        <v>206</v>
      </c>
      <c r="D113" s="6"/>
      <c r="E113" s="133"/>
      <c r="F113" s="202"/>
      <c r="G113" s="203">
        <v>6</v>
      </c>
      <c r="H113" s="204">
        <f t="shared" si="17"/>
        <v>0</v>
      </c>
      <c r="I113" s="205"/>
      <c r="J113" s="206"/>
      <c r="K113" s="207">
        <f t="shared" si="18"/>
        <v>0</v>
      </c>
      <c r="L113" s="204">
        <f t="shared" si="19"/>
        <v>0</v>
      </c>
      <c r="M113" s="207">
        <f t="shared" si="20"/>
        <v>0</v>
      </c>
      <c r="N113" s="204">
        <f t="shared" si="21"/>
        <v>0</v>
      </c>
      <c r="O113" s="204">
        <f t="shared" si="22"/>
        <v>0</v>
      </c>
      <c r="P113" s="204">
        <f t="shared" si="23"/>
        <v>0</v>
      </c>
    </row>
    <row r="114" spans="1:16" ht="15">
      <c r="A114" s="129" t="s">
        <v>321</v>
      </c>
      <c r="B114" s="129"/>
      <c r="C114" s="13" t="s">
        <v>207</v>
      </c>
      <c r="D114" s="138"/>
      <c r="E114" s="139"/>
      <c r="F114" s="202"/>
      <c r="G114" s="203">
        <v>6</v>
      </c>
      <c r="H114" s="204">
        <f t="shared" si="17"/>
        <v>0</v>
      </c>
      <c r="I114" s="205"/>
      <c r="J114" s="206"/>
      <c r="K114" s="207">
        <f t="shared" si="18"/>
        <v>0</v>
      </c>
      <c r="L114" s="204">
        <f t="shared" si="19"/>
        <v>0</v>
      </c>
      <c r="M114" s="207">
        <f t="shared" si="20"/>
        <v>0</v>
      </c>
      <c r="N114" s="204">
        <f t="shared" si="21"/>
        <v>0</v>
      </c>
      <c r="O114" s="204">
        <f t="shared" si="22"/>
        <v>0</v>
      </c>
      <c r="P114" s="204">
        <f t="shared" si="23"/>
        <v>0</v>
      </c>
    </row>
    <row r="115" spans="1:16" ht="25.5">
      <c r="A115" s="129" t="s">
        <v>322</v>
      </c>
      <c r="B115" s="129"/>
      <c r="C115" s="4" t="s">
        <v>208</v>
      </c>
      <c r="D115" s="138" t="s">
        <v>20</v>
      </c>
      <c r="E115" s="139">
        <v>32.75</v>
      </c>
      <c r="F115" s="202">
        <v>0.6</v>
      </c>
      <c r="G115" s="203">
        <v>6</v>
      </c>
      <c r="H115" s="204">
        <f t="shared" si="17"/>
        <v>3.6</v>
      </c>
      <c r="I115" s="205">
        <v>3.5</v>
      </c>
      <c r="J115" s="206">
        <v>0.1</v>
      </c>
      <c r="K115" s="207">
        <f t="shared" si="18"/>
        <v>7.2</v>
      </c>
      <c r="L115" s="204">
        <f t="shared" si="19"/>
        <v>19.649999999999999</v>
      </c>
      <c r="M115" s="207">
        <f t="shared" si="20"/>
        <v>117.9</v>
      </c>
      <c r="N115" s="204">
        <f t="shared" si="21"/>
        <v>114.63</v>
      </c>
      <c r="O115" s="204">
        <f t="shared" si="22"/>
        <v>3.28</v>
      </c>
      <c r="P115" s="204">
        <f t="shared" si="23"/>
        <v>235.81</v>
      </c>
    </row>
    <row r="116" spans="1:16" ht="25.5">
      <c r="A116" s="129" t="s">
        <v>978</v>
      </c>
      <c r="B116" s="129"/>
      <c r="C116" s="4" t="s">
        <v>209</v>
      </c>
      <c r="D116" s="138" t="s">
        <v>20</v>
      </c>
      <c r="E116" s="139">
        <v>32.75</v>
      </c>
      <c r="F116" s="202">
        <v>0.3</v>
      </c>
      <c r="G116" s="203">
        <v>6</v>
      </c>
      <c r="H116" s="204">
        <f t="shared" si="17"/>
        <v>1.8</v>
      </c>
      <c r="I116" s="205">
        <v>4</v>
      </c>
      <c r="J116" s="206">
        <v>0.1</v>
      </c>
      <c r="K116" s="207">
        <f t="shared" si="18"/>
        <v>5.9</v>
      </c>
      <c r="L116" s="204">
        <f t="shared" si="19"/>
        <v>9.83</v>
      </c>
      <c r="M116" s="207">
        <f t="shared" si="20"/>
        <v>58.95</v>
      </c>
      <c r="N116" s="204">
        <f t="shared" si="21"/>
        <v>131</v>
      </c>
      <c r="O116" s="204">
        <f t="shared" si="22"/>
        <v>3.28</v>
      </c>
      <c r="P116" s="204">
        <f t="shared" si="23"/>
        <v>193.23</v>
      </c>
    </row>
    <row r="117" spans="1:16">
      <c r="A117" s="129" t="s">
        <v>979</v>
      </c>
      <c r="B117" s="129"/>
      <c r="C117" s="13" t="s">
        <v>210</v>
      </c>
      <c r="D117" s="15"/>
      <c r="E117" s="139"/>
      <c r="F117" s="202"/>
      <c r="G117" s="203">
        <v>6</v>
      </c>
      <c r="H117" s="204">
        <f t="shared" si="17"/>
        <v>0</v>
      </c>
      <c r="I117" s="205"/>
      <c r="J117" s="206"/>
      <c r="K117" s="207">
        <f t="shared" si="18"/>
        <v>0</v>
      </c>
      <c r="L117" s="204">
        <f t="shared" si="19"/>
        <v>0</v>
      </c>
      <c r="M117" s="207">
        <f t="shared" si="20"/>
        <v>0</v>
      </c>
      <c r="N117" s="204">
        <f t="shared" si="21"/>
        <v>0</v>
      </c>
      <c r="O117" s="204">
        <f t="shared" si="22"/>
        <v>0</v>
      </c>
      <c r="P117" s="204">
        <f t="shared" si="23"/>
        <v>0</v>
      </c>
    </row>
    <row r="118" spans="1:16" ht="63.75">
      <c r="A118" s="129" t="s">
        <v>980</v>
      </c>
      <c r="B118" s="129"/>
      <c r="C118" s="4" t="s">
        <v>211</v>
      </c>
      <c r="D118" s="138" t="s">
        <v>20</v>
      </c>
      <c r="E118" s="139">
        <v>22.2</v>
      </c>
      <c r="F118" s="202">
        <v>3</v>
      </c>
      <c r="G118" s="203">
        <v>6</v>
      </c>
      <c r="H118" s="204">
        <f t="shared" si="17"/>
        <v>18</v>
      </c>
      <c r="I118" s="205">
        <v>16.2</v>
      </c>
      <c r="J118" s="206">
        <v>0.5</v>
      </c>
      <c r="K118" s="207">
        <f t="shared" si="18"/>
        <v>34.700000000000003</v>
      </c>
      <c r="L118" s="204">
        <f t="shared" si="19"/>
        <v>66.599999999999994</v>
      </c>
      <c r="M118" s="207">
        <f t="shared" si="20"/>
        <v>399.6</v>
      </c>
      <c r="N118" s="204">
        <f t="shared" si="21"/>
        <v>359.64</v>
      </c>
      <c r="O118" s="204">
        <f t="shared" si="22"/>
        <v>11.1</v>
      </c>
      <c r="P118" s="204">
        <f t="shared" si="23"/>
        <v>770.34</v>
      </c>
    </row>
    <row r="119" spans="1:16" ht="38.25">
      <c r="A119" s="129" t="s">
        <v>981</v>
      </c>
      <c r="B119" s="129"/>
      <c r="C119" s="19" t="s">
        <v>212</v>
      </c>
      <c r="D119" s="138" t="s">
        <v>20</v>
      </c>
      <c r="E119" s="139">
        <v>22.2</v>
      </c>
      <c r="F119" s="202">
        <v>1</v>
      </c>
      <c r="G119" s="203">
        <v>6</v>
      </c>
      <c r="H119" s="204">
        <f t="shared" si="17"/>
        <v>6</v>
      </c>
      <c r="I119" s="205">
        <v>1.65</v>
      </c>
      <c r="J119" s="206">
        <v>0.2</v>
      </c>
      <c r="K119" s="207">
        <f t="shared" si="18"/>
        <v>7.85</v>
      </c>
      <c r="L119" s="204">
        <f t="shared" si="19"/>
        <v>22.2</v>
      </c>
      <c r="M119" s="207">
        <f t="shared" si="20"/>
        <v>133.19999999999999</v>
      </c>
      <c r="N119" s="204">
        <f t="shared" si="21"/>
        <v>36.630000000000003</v>
      </c>
      <c r="O119" s="204">
        <f t="shared" si="22"/>
        <v>4.4400000000000004</v>
      </c>
      <c r="P119" s="204">
        <f t="shared" si="23"/>
        <v>174.27</v>
      </c>
    </row>
    <row r="120" spans="1:16" ht="25.5">
      <c r="A120" s="129" t="s">
        <v>982</v>
      </c>
      <c r="B120" s="129"/>
      <c r="C120" s="19" t="s">
        <v>213</v>
      </c>
      <c r="D120" s="138" t="s">
        <v>20</v>
      </c>
      <c r="E120" s="139">
        <v>22.2</v>
      </c>
      <c r="F120" s="202">
        <f>3/5</f>
        <v>0.6</v>
      </c>
      <c r="G120" s="203">
        <v>6</v>
      </c>
      <c r="H120" s="204">
        <f t="shared" si="17"/>
        <v>3.6</v>
      </c>
      <c r="I120" s="205">
        <f>4.5*0.4</f>
        <v>1.8</v>
      </c>
      <c r="J120" s="206">
        <v>0.2</v>
      </c>
      <c r="K120" s="207">
        <f t="shared" si="18"/>
        <v>5.6</v>
      </c>
      <c r="L120" s="204">
        <f t="shared" si="19"/>
        <v>13.32</v>
      </c>
      <c r="M120" s="207">
        <f t="shared" si="20"/>
        <v>79.92</v>
      </c>
      <c r="N120" s="204">
        <f t="shared" si="21"/>
        <v>39.96</v>
      </c>
      <c r="O120" s="204">
        <f t="shared" si="22"/>
        <v>4.4400000000000004</v>
      </c>
      <c r="P120" s="204">
        <f t="shared" si="23"/>
        <v>124.32</v>
      </c>
    </row>
    <row r="121" spans="1:16">
      <c r="A121" s="129" t="s">
        <v>1017</v>
      </c>
      <c r="B121" s="129"/>
      <c r="C121" s="3" t="s">
        <v>214</v>
      </c>
      <c r="D121" s="18" t="s">
        <v>19</v>
      </c>
      <c r="E121" s="135">
        <v>1</v>
      </c>
      <c r="F121" s="202">
        <v>4</v>
      </c>
      <c r="G121" s="203">
        <v>6</v>
      </c>
      <c r="H121" s="204">
        <f t="shared" si="17"/>
        <v>24</v>
      </c>
      <c r="I121" s="205"/>
      <c r="J121" s="206">
        <v>50</v>
      </c>
      <c r="K121" s="207">
        <f t="shared" si="18"/>
        <v>74</v>
      </c>
      <c r="L121" s="204">
        <f t="shared" si="19"/>
        <v>4</v>
      </c>
      <c r="M121" s="207">
        <f t="shared" si="20"/>
        <v>24</v>
      </c>
      <c r="N121" s="204">
        <f t="shared" si="21"/>
        <v>0</v>
      </c>
      <c r="O121" s="204">
        <f t="shared" si="22"/>
        <v>50</v>
      </c>
      <c r="P121" s="204">
        <f t="shared" si="23"/>
        <v>74</v>
      </c>
    </row>
    <row r="122" spans="1:16">
      <c r="A122" s="126" t="s">
        <v>142</v>
      </c>
      <c r="B122" s="126"/>
      <c r="C122" s="9" t="s">
        <v>47</v>
      </c>
      <c r="D122" s="6"/>
      <c r="E122" s="133"/>
      <c r="F122" s="202"/>
      <c r="G122" s="203">
        <v>6</v>
      </c>
      <c r="H122" s="204">
        <f t="shared" si="17"/>
        <v>0</v>
      </c>
      <c r="I122" s="205"/>
      <c r="J122" s="206"/>
      <c r="K122" s="207">
        <f t="shared" si="18"/>
        <v>0</v>
      </c>
      <c r="L122" s="204">
        <f t="shared" si="19"/>
        <v>0</v>
      </c>
      <c r="M122" s="207">
        <f t="shared" si="20"/>
        <v>0</v>
      </c>
      <c r="N122" s="204">
        <f t="shared" si="21"/>
        <v>0</v>
      </c>
      <c r="O122" s="204">
        <f t="shared" si="22"/>
        <v>0</v>
      </c>
      <c r="P122" s="204">
        <f t="shared" si="23"/>
        <v>0</v>
      </c>
    </row>
    <row r="123" spans="1:16">
      <c r="A123" s="129" t="s">
        <v>143</v>
      </c>
      <c r="B123" s="129"/>
      <c r="C123" s="2" t="s">
        <v>215</v>
      </c>
      <c r="D123" s="134" t="s">
        <v>20</v>
      </c>
      <c r="E123" s="132">
        <v>136.94</v>
      </c>
      <c r="F123" s="202"/>
      <c r="G123" s="203">
        <v>6</v>
      </c>
      <c r="H123" s="204">
        <f t="shared" si="17"/>
        <v>0</v>
      </c>
      <c r="I123" s="205"/>
      <c r="J123" s="206"/>
      <c r="K123" s="207">
        <f t="shared" si="18"/>
        <v>0</v>
      </c>
      <c r="L123" s="204">
        <f t="shared" si="19"/>
        <v>0</v>
      </c>
      <c r="M123" s="207">
        <f t="shared" si="20"/>
        <v>0</v>
      </c>
      <c r="N123" s="204">
        <f t="shared" si="21"/>
        <v>0</v>
      </c>
      <c r="O123" s="204">
        <f t="shared" si="22"/>
        <v>0</v>
      </c>
      <c r="P123" s="204">
        <f t="shared" si="23"/>
        <v>0</v>
      </c>
    </row>
    <row r="124" spans="1:16" ht="25.5">
      <c r="A124" s="129" t="s">
        <v>144</v>
      </c>
      <c r="B124" s="129"/>
      <c r="C124" s="3" t="s">
        <v>216</v>
      </c>
      <c r="D124" s="6" t="s">
        <v>16</v>
      </c>
      <c r="E124" s="132">
        <v>13.69</v>
      </c>
      <c r="F124" s="202">
        <v>1.5</v>
      </c>
      <c r="G124" s="203">
        <v>6</v>
      </c>
      <c r="H124" s="204">
        <f t="shared" si="17"/>
        <v>9</v>
      </c>
      <c r="I124" s="205">
        <v>8</v>
      </c>
      <c r="J124" s="206">
        <v>3</v>
      </c>
      <c r="K124" s="207">
        <f t="shared" si="18"/>
        <v>20</v>
      </c>
      <c r="L124" s="204">
        <f t="shared" si="19"/>
        <v>20.54</v>
      </c>
      <c r="M124" s="207">
        <f t="shared" si="20"/>
        <v>123.21</v>
      </c>
      <c r="N124" s="204">
        <f t="shared" si="21"/>
        <v>109.52</v>
      </c>
      <c r="O124" s="204">
        <f t="shared" si="22"/>
        <v>41.07</v>
      </c>
      <c r="P124" s="204">
        <f t="shared" si="23"/>
        <v>273.8</v>
      </c>
    </row>
    <row r="125" spans="1:16" ht="25.5">
      <c r="A125" s="129" t="s">
        <v>323</v>
      </c>
      <c r="B125" s="129"/>
      <c r="C125" s="3" t="s">
        <v>217</v>
      </c>
      <c r="D125" s="6" t="s">
        <v>16</v>
      </c>
      <c r="E125" s="133">
        <v>13.69</v>
      </c>
      <c r="F125" s="202">
        <v>1.5</v>
      </c>
      <c r="G125" s="203">
        <v>6</v>
      </c>
      <c r="H125" s="204">
        <f t="shared" si="17"/>
        <v>9</v>
      </c>
      <c r="I125" s="205">
        <v>15</v>
      </c>
      <c r="J125" s="206">
        <v>4</v>
      </c>
      <c r="K125" s="207">
        <f t="shared" si="18"/>
        <v>28</v>
      </c>
      <c r="L125" s="204">
        <f t="shared" si="19"/>
        <v>20.54</v>
      </c>
      <c r="M125" s="207">
        <f t="shared" si="20"/>
        <v>123.21</v>
      </c>
      <c r="N125" s="204">
        <f t="shared" si="21"/>
        <v>205.35</v>
      </c>
      <c r="O125" s="204">
        <f t="shared" si="22"/>
        <v>54.76</v>
      </c>
      <c r="P125" s="204">
        <f t="shared" si="23"/>
        <v>383.32</v>
      </c>
    </row>
    <row r="126" spans="1:16" ht="25.5">
      <c r="A126" s="129" t="s">
        <v>324</v>
      </c>
      <c r="B126" s="129"/>
      <c r="C126" s="19" t="s">
        <v>218</v>
      </c>
      <c r="D126" s="12" t="s">
        <v>20</v>
      </c>
      <c r="E126" s="139">
        <v>136.94</v>
      </c>
      <c r="F126" s="202">
        <f>2/5</f>
        <v>0.4</v>
      </c>
      <c r="G126" s="203">
        <v>6</v>
      </c>
      <c r="H126" s="204">
        <f t="shared" si="17"/>
        <v>2.4</v>
      </c>
      <c r="I126" s="205">
        <v>4.67</v>
      </c>
      <c r="J126" s="206">
        <v>0.1</v>
      </c>
      <c r="K126" s="207">
        <f t="shared" si="18"/>
        <v>7.17</v>
      </c>
      <c r="L126" s="204">
        <f t="shared" si="19"/>
        <v>54.78</v>
      </c>
      <c r="M126" s="207">
        <f t="shared" si="20"/>
        <v>328.66</v>
      </c>
      <c r="N126" s="204">
        <f t="shared" si="21"/>
        <v>639.51</v>
      </c>
      <c r="O126" s="204">
        <f t="shared" si="22"/>
        <v>13.69</v>
      </c>
      <c r="P126" s="204">
        <f t="shared" si="23"/>
        <v>981.86</v>
      </c>
    </row>
    <row r="127" spans="1:16" ht="25.5">
      <c r="A127" s="129" t="s">
        <v>325</v>
      </c>
      <c r="B127" s="129"/>
      <c r="C127" s="4" t="s">
        <v>219</v>
      </c>
      <c r="D127" s="12" t="s">
        <v>20</v>
      </c>
      <c r="E127" s="139">
        <v>140.38</v>
      </c>
      <c r="F127" s="202">
        <v>0.1</v>
      </c>
      <c r="G127" s="203">
        <v>6</v>
      </c>
      <c r="H127" s="204">
        <f t="shared" si="17"/>
        <v>0.6</v>
      </c>
      <c r="I127" s="205">
        <v>0.4</v>
      </c>
      <c r="J127" s="206">
        <v>0.02</v>
      </c>
      <c r="K127" s="207">
        <f t="shared" si="18"/>
        <v>1.02</v>
      </c>
      <c r="L127" s="204">
        <f t="shared" si="19"/>
        <v>14.04</v>
      </c>
      <c r="M127" s="207">
        <f t="shared" si="20"/>
        <v>84.23</v>
      </c>
      <c r="N127" s="204">
        <f t="shared" si="21"/>
        <v>56.15</v>
      </c>
      <c r="O127" s="204">
        <f t="shared" si="22"/>
        <v>2.81</v>
      </c>
      <c r="P127" s="204">
        <f t="shared" si="23"/>
        <v>143.19</v>
      </c>
    </row>
    <row r="128" spans="1:16" ht="25.5">
      <c r="A128" s="129" t="s">
        <v>326</v>
      </c>
      <c r="B128" s="129"/>
      <c r="C128" s="3" t="s">
        <v>220</v>
      </c>
      <c r="D128" s="12" t="s">
        <v>20</v>
      </c>
      <c r="E128" s="133">
        <v>140.38</v>
      </c>
      <c r="F128" s="202">
        <f>2/5</f>
        <v>0.4</v>
      </c>
      <c r="G128" s="203">
        <v>6</v>
      </c>
      <c r="H128" s="204">
        <f t="shared" si="17"/>
        <v>2.4</v>
      </c>
      <c r="I128" s="205">
        <f>2.02*1.25</f>
        <v>2.5299999999999998</v>
      </c>
      <c r="J128" s="206">
        <v>0.1</v>
      </c>
      <c r="K128" s="207">
        <f t="shared" si="18"/>
        <v>5.03</v>
      </c>
      <c r="L128" s="204">
        <f t="shared" si="19"/>
        <v>56.15</v>
      </c>
      <c r="M128" s="207">
        <f t="shared" si="20"/>
        <v>336.91</v>
      </c>
      <c r="N128" s="204">
        <f t="shared" si="21"/>
        <v>355.16</v>
      </c>
      <c r="O128" s="204">
        <f t="shared" si="22"/>
        <v>14.04</v>
      </c>
      <c r="P128" s="204">
        <f t="shared" si="23"/>
        <v>706.11</v>
      </c>
    </row>
    <row r="129" spans="1:16" ht="25.5">
      <c r="A129" s="129" t="s">
        <v>327</v>
      </c>
      <c r="B129" s="129"/>
      <c r="C129" s="8" t="s">
        <v>221</v>
      </c>
      <c r="D129" s="12" t="s">
        <v>20</v>
      </c>
      <c r="E129" s="139">
        <v>140.38</v>
      </c>
      <c r="F129" s="202">
        <v>1</v>
      </c>
      <c r="G129" s="203">
        <v>6</v>
      </c>
      <c r="H129" s="204">
        <f t="shared" si="17"/>
        <v>6</v>
      </c>
      <c r="I129" s="205">
        <f>0.07*100</f>
        <v>7</v>
      </c>
      <c r="J129" s="206">
        <v>2</v>
      </c>
      <c r="K129" s="207">
        <f t="shared" si="18"/>
        <v>15</v>
      </c>
      <c r="L129" s="204">
        <f t="shared" si="19"/>
        <v>140.38</v>
      </c>
      <c r="M129" s="207">
        <f t="shared" si="20"/>
        <v>842.28</v>
      </c>
      <c r="N129" s="204">
        <f t="shared" si="21"/>
        <v>982.66</v>
      </c>
      <c r="O129" s="204">
        <f t="shared" si="22"/>
        <v>280.76</v>
      </c>
      <c r="P129" s="204">
        <f t="shared" si="23"/>
        <v>2105.6999999999998</v>
      </c>
    </row>
    <row r="130" spans="1:16" ht="38.25">
      <c r="A130" s="129" t="s">
        <v>983</v>
      </c>
      <c r="B130" s="129"/>
      <c r="C130" s="3" t="s">
        <v>222</v>
      </c>
      <c r="D130" s="134" t="s">
        <v>20</v>
      </c>
      <c r="E130" s="143">
        <v>115</v>
      </c>
      <c r="F130" s="202">
        <f>2/5</f>
        <v>0.4</v>
      </c>
      <c r="G130" s="203">
        <v>6</v>
      </c>
      <c r="H130" s="204">
        <f t="shared" si="17"/>
        <v>2.4</v>
      </c>
      <c r="I130" s="205">
        <v>1.8</v>
      </c>
      <c r="J130" s="206">
        <v>1</v>
      </c>
      <c r="K130" s="207">
        <f t="shared" si="18"/>
        <v>5.2</v>
      </c>
      <c r="L130" s="204">
        <f t="shared" si="19"/>
        <v>46</v>
      </c>
      <c r="M130" s="207">
        <f t="shared" si="20"/>
        <v>276</v>
      </c>
      <c r="N130" s="204">
        <f t="shared" si="21"/>
        <v>207</v>
      </c>
      <c r="O130" s="204">
        <f t="shared" si="22"/>
        <v>115</v>
      </c>
      <c r="P130" s="204">
        <f t="shared" si="23"/>
        <v>598</v>
      </c>
    </row>
    <row r="131" spans="1:16" ht="38.25">
      <c r="A131" s="129" t="s">
        <v>984</v>
      </c>
      <c r="B131" s="129"/>
      <c r="C131" s="4" t="s">
        <v>223</v>
      </c>
      <c r="D131" s="12" t="s">
        <v>20</v>
      </c>
      <c r="E131" s="139">
        <v>25.3</v>
      </c>
      <c r="F131" s="202">
        <f>18/5</f>
        <v>3.6</v>
      </c>
      <c r="G131" s="203">
        <v>6</v>
      </c>
      <c r="H131" s="204">
        <f t="shared" ref="H131" si="27">ROUND(G131*F131,2)</f>
        <v>21.6</v>
      </c>
      <c r="I131" s="205">
        <v>14</v>
      </c>
      <c r="J131" s="206">
        <v>0.3</v>
      </c>
      <c r="K131" s="207">
        <f t="shared" si="18"/>
        <v>35.9</v>
      </c>
      <c r="L131" s="204">
        <f t="shared" si="19"/>
        <v>91.08</v>
      </c>
      <c r="M131" s="207">
        <f t="shared" si="20"/>
        <v>546.48</v>
      </c>
      <c r="N131" s="204">
        <f t="shared" si="21"/>
        <v>354.2</v>
      </c>
      <c r="O131" s="204">
        <f t="shared" si="22"/>
        <v>7.59</v>
      </c>
      <c r="P131" s="204">
        <f t="shared" si="23"/>
        <v>908.27</v>
      </c>
    </row>
    <row r="132" spans="1:16">
      <c r="A132" s="129" t="s">
        <v>985</v>
      </c>
      <c r="B132" s="129"/>
      <c r="C132" s="13" t="s">
        <v>224</v>
      </c>
      <c r="D132" s="12"/>
      <c r="E132" s="139"/>
      <c r="F132" s="202"/>
      <c r="G132" s="203">
        <v>6</v>
      </c>
      <c r="H132" s="204">
        <f t="shared" si="17"/>
        <v>0</v>
      </c>
      <c r="I132" s="205"/>
      <c r="J132" s="206"/>
      <c r="K132" s="207">
        <f t="shared" si="18"/>
        <v>0</v>
      </c>
      <c r="L132" s="204">
        <f t="shared" si="19"/>
        <v>0</v>
      </c>
      <c r="M132" s="207">
        <f t="shared" si="20"/>
        <v>0</v>
      </c>
      <c r="N132" s="204">
        <f t="shared" si="21"/>
        <v>0</v>
      </c>
      <c r="O132" s="204">
        <f t="shared" si="22"/>
        <v>0</v>
      </c>
      <c r="P132" s="204">
        <f t="shared" si="23"/>
        <v>0</v>
      </c>
    </row>
    <row r="133" spans="1:16">
      <c r="A133" s="129" t="s">
        <v>986</v>
      </c>
      <c r="B133" s="129"/>
      <c r="C133" s="4" t="s">
        <v>225</v>
      </c>
      <c r="D133" s="15" t="s">
        <v>0</v>
      </c>
      <c r="E133" s="139">
        <v>113.8</v>
      </c>
      <c r="F133" s="202">
        <f>2/5</f>
        <v>0.4</v>
      </c>
      <c r="G133" s="203">
        <v>6</v>
      </c>
      <c r="H133" s="204">
        <f t="shared" si="17"/>
        <v>2.4</v>
      </c>
      <c r="I133" s="205">
        <v>2.9</v>
      </c>
      <c r="J133" s="206">
        <v>0.1</v>
      </c>
      <c r="K133" s="207">
        <f t="shared" si="18"/>
        <v>5.4</v>
      </c>
      <c r="L133" s="204">
        <f t="shared" si="19"/>
        <v>45.52</v>
      </c>
      <c r="M133" s="207">
        <f t="shared" si="20"/>
        <v>273.12</v>
      </c>
      <c r="N133" s="204">
        <f t="shared" si="21"/>
        <v>330.02</v>
      </c>
      <c r="O133" s="204">
        <f t="shared" si="22"/>
        <v>11.38</v>
      </c>
      <c r="P133" s="204">
        <f t="shared" si="23"/>
        <v>614.52</v>
      </c>
    </row>
    <row r="134" spans="1:16" ht="25.5">
      <c r="A134" s="129" t="s">
        <v>987</v>
      </c>
      <c r="B134" s="129"/>
      <c r="C134" s="19" t="s">
        <v>226</v>
      </c>
      <c r="D134" s="15" t="s">
        <v>0</v>
      </c>
      <c r="E134" s="139">
        <v>6.25</v>
      </c>
      <c r="F134" s="202">
        <f>3/5</f>
        <v>0.6</v>
      </c>
      <c r="G134" s="203">
        <v>6</v>
      </c>
      <c r="H134" s="204">
        <f t="shared" si="17"/>
        <v>3.6</v>
      </c>
      <c r="I134" s="205">
        <v>6.5</v>
      </c>
      <c r="J134" s="206">
        <v>0.1</v>
      </c>
      <c r="K134" s="207">
        <f t="shared" si="18"/>
        <v>10.199999999999999</v>
      </c>
      <c r="L134" s="204">
        <f t="shared" si="19"/>
        <v>3.75</v>
      </c>
      <c r="M134" s="207">
        <f t="shared" si="20"/>
        <v>22.5</v>
      </c>
      <c r="N134" s="204">
        <f t="shared" si="21"/>
        <v>40.630000000000003</v>
      </c>
      <c r="O134" s="204">
        <f t="shared" si="22"/>
        <v>0.63</v>
      </c>
      <c r="P134" s="204">
        <f t="shared" si="23"/>
        <v>63.76</v>
      </c>
    </row>
    <row r="135" spans="1:16" ht="38.25">
      <c r="A135" s="129" t="s">
        <v>1018</v>
      </c>
      <c r="B135" s="129"/>
      <c r="C135" s="4" t="s">
        <v>227</v>
      </c>
      <c r="D135" s="12" t="s">
        <v>0</v>
      </c>
      <c r="E135" s="139">
        <v>14</v>
      </c>
      <c r="F135" s="202">
        <v>0.6</v>
      </c>
      <c r="G135" s="203">
        <v>6</v>
      </c>
      <c r="H135" s="204">
        <f t="shared" si="17"/>
        <v>3.6</v>
      </c>
      <c r="I135" s="205">
        <v>2.5</v>
      </c>
      <c r="J135" s="206">
        <v>0.1</v>
      </c>
      <c r="K135" s="207">
        <f t="shared" si="18"/>
        <v>6.2</v>
      </c>
      <c r="L135" s="204">
        <f t="shared" si="19"/>
        <v>8.4</v>
      </c>
      <c r="M135" s="207">
        <f t="shared" si="20"/>
        <v>50.4</v>
      </c>
      <c r="N135" s="204">
        <f t="shared" si="21"/>
        <v>35</v>
      </c>
      <c r="O135" s="204">
        <f t="shared" si="22"/>
        <v>1.4</v>
      </c>
      <c r="P135" s="204">
        <f t="shared" si="23"/>
        <v>86.8</v>
      </c>
    </row>
    <row r="136" spans="1:16">
      <c r="A136" s="126" t="s">
        <v>145</v>
      </c>
      <c r="B136" s="126"/>
      <c r="C136" s="46" t="s">
        <v>228</v>
      </c>
      <c r="D136" s="6"/>
      <c r="E136" s="133"/>
      <c r="F136" s="202"/>
      <c r="G136" s="203">
        <v>6</v>
      </c>
      <c r="H136" s="204">
        <f t="shared" si="17"/>
        <v>0</v>
      </c>
      <c r="I136" s="205"/>
      <c r="J136" s="206"/>
      <c r="K136" s="207">
        <f t="shared" si="18"/>
        <v>0</v>
      </c>
      <c r="L136" s="204">
        <f t="shared" si="19"/>
        <v>0</v>
      </c>
      <c r="M136" s="207">
        <f t="shared" si="20"/>
        <v>0</v>
      </c>
      <c r="N136" s="204">
        <f t="shared" si="21"/>
        <v>0</v>
      </c>
      <c r="O136" s="204">
        <f t="shared" si="22"/>
        <v>0</v>
      </c>
      <c r="P136" s="204">
        <f t="shared" si="23"/>
        <v>0</v>
      </c>
    </row>
    <row r="137" spans="1:16" ht="38.25">
      <c r="A137" s="129" t="s">
        <v>328</v>
      </c>
      <c r="B137" s="129"/>
      <c r="C137" s="4" t="s">
        <v>229</v>
      </c>
      <c r="D137" s="6" t="s">
        <v>16</v>
      </c>
      <c r="E137" s="131">
        <v>3.09</v>
      </c>
      <c r="F137" s="202">
        <v>60</v>
      </c>
      <c r="G137" s="203">
        <v>6</v>
      </c>
      <c r="H137" s="204">
        <f t="shared" si="17"/>
        <v>360</v>
      </c>
      <c r="I137" s="205">
        <v>350</v>
      </c>
      <c r="J137" s="206">
        <v>10</v>
      </c>
      <c r="K137" s="207">
        <f t="shared" si="18"/>
        <v>720</v>
      </c>
      <c r="L137" s="204">
        <f t="shared" si="19"/>
        <v>185.4</v>
      </c>
      <c r="M137" s="207">
        <f t="shared" si="20"/>
        <v>1112.4000000000001</v>
      </c>
      <c r="N137" s="204">
        <f t="shared" si="21"/>
        <v>1081.5</v>
      </c>
      <c r="O137" s="204">
        <f t="shared" si="22"/>
        <v>30.9</v>
      </c>
      <c r="P137" s="204">
        <f t="shared" si="23"/>
        <v>2224.8000000000002</v>
      </c>
    </row>
    <row r="138" spans="1:16" ht="38.25">
      <c r="A138" s="129" t="s">
        <v>329</v>
      </c>
      <c r="B138" s="129"/>
      <c r="C138" s="42" t="s">
        <v>961</v>
      </c>
      <c r="D138" s="6" t="s">
        <v>16</v>
      </c>
      <c r="E138" s="131">
        <v>3.99</v>
      </c>
      <c r="F138" s="202">
        <v>60</v>
      </c>
      <c r="G138" s="203">
        <v>6</v>
      </c>
      <c r="H138" s="204">
        <f t="shared" si="17"/>
        <v>360</v>
      </c>
      <c r="I138" s="205">
        <v>680</v>
      </c>
      <c r="J138" s="206">
        <v>10</v>
      </c>
      <c r="K138" s="207">
        <f t="shared" si="18"/>
        <v>1050</v>
      </c>
      <c r="L138" s="204">
        <f t="shared" si="19"/>
        <v>239.4</v>
      </c>
      <c r="M138" s="207">
        <f t="shared" si="20"/>
        <v>1436.4</v>
      </c>
      <c r="N138" s="204">
        <f t="shared" si="21"/>
        <v>2713.2</v>
      </c>
      <c r="O138" s="204">
        <f t="shared" si="22"/>
        <v>39.9</v>
      </c>
      <c r="P138" s="204">
        <f t="shared" si="23"/>
        <v>4189.5</v>
      </c>
    </row>
    <row r="139" spans="1:16" ht="38.25">
      <c r="A139" s="129" t="s">
        <v>330</v>
      </c>
      <c r="B139" s="129"/>
      <c r="C139" s="5" t="s">
        <v>230</v>
      </c>
      <c r="D139" s="134" t="s">
        <v>20</v>
      </c>
      <c r="E139" s="144">
        <v>181.63</v>
      </c>
      <c r="F139" s="202">
        <v>1</v>
      </c>
      <c r="G139" s="203">
        <v>6</v>
      </c>
      <c r="H139" s="204">
        <f t="shared" si="17"/>
        <v>6</v>
      </c>
      <c r="I139" s="205">
        <f>37.2*1.2*1.1</f>
        <v>49.1</v>
      </c>
      <c r="J139" s="206">
        <v>2</v>
      </c>
      <c r="K139" s="207">
        <f t="shared" si="18"/>
        <v>57.1</v>
      </c>
      <c r="L139" s="204">
        <f t="shared" si="19"/>
        <v>181.63</v>
      </c>
      <c r="M139" s="207">
        <f t="shared" si="20"/>
        <v>1089.78</v>
      </c>
      <c r="N139" s="204">
        <f t="shared" si="21"/>
        <v>8918.0300000000007</v>
      </c>
      <c r="O139" s="204">
        <f t="shared" si="22"/>
        <v>363.26</v>
      </c>
      <c r="P139" s="204">
        <f t="shared" si="23"/>
        <v>10371.07</v>
      </c>
    </row>
    <row r="140" spans="1:16" ht="25.5">
      <c r="A140" s="129" t="s">
        <v>331</v>
      </c>
      <c r="B140" s="129"/>
      <c r="C140" s="3" t="s">
        <v>49</v>
      </c>
      <c r="D140" s="134" t="s">
        <v>0</v>
      </c>
      <c r="E140" s="144">
        <v>8.4</v>
      </c>
      <c r="F140" s="202">
        <v>0.5</v>
      </c>
      <c r="G140" s="203">
        <v>6</v>
      </c>
      <c r="H140" s="204">
        <f t="shared" si="17"/>
        <v>3</v>
      </c>
      <c r="I140" s="205">
        <v>3.6</v>
      </c>
      <c r="J140" s="206">
        <v>0.05</v>
      </c>
      <c r="K140" s="207">
        <f t="shared" si="18"/>
        <v>6.65</v>
      </c>
      <c r="L140" s="204">
        <f t="shared" si="19"/>
        <v>4.2</v>
      </c>
      <c r="M140" s="207">
        <f t="shared" si="20"/>
        <v>25.2</v>
      </c>
      <c r="N140" s="204">
        <f t="shared" si="21"/>
        <v>30.24</v>
      </c>
      <c r="O140" s="204">
        <f t="shared" si="22"/>
        <v>0.42</v>
      </c>
      <c r="P140" s="204">
        <f t="shared" si="23"/>
        <v>55.86</v>
      </c>
    </row>
    <row r="141" spans="1:16" ht="25.5">
      <c r="A141" s="129" t="s">
        <v>332</v>
      </c>
      <c r="B141" s="129"/>
      <c r="C141" s="8" t="s">
        <v>231</v>
      </c>
      <c r="D141" s="145" t="s">
        <v>0</v>
      </c>
      <c r="E141" s="144">
        <v>30.9</v>
      </c>
      <c r="F141" s="202">
        <v>0.6</v>
      </c>
      <c r="G141" s="203">
        <v>6</v>
      </c>
      <c r="H141" s="204">
        <f t="shared" si="17"/>
        <v>3.6</v>
      </c>
      <c r="I141" s="205">
        <v>7</v>
      </c>
      <c r="J141" s="206">
        <v>0.05</v>
      </c>
      <c r="K141" s="207">
        <f t="shared" si="18"/>
        <v>10.65</v>
      </c>
      <c r="L141" s="204">
        <f t="shared" si="19"/>
        <v>18.54</v>
      </c>
      <c r="M141" s="207">
        <f t="shared" si="20"/>
        <v>111.24</v>
      </c>
      <c r="N141" s="204">
        <f t="shared" si="21"/>
        <v>216.3</v>
      </c>
      <c r="O141" s="204">
        <f t="shared" si="22"/>
        <v>1.55</v>
      </c>
      <c r="P141" s="204">
        <f t="shared" si="23"/>
        <v>329.09</v>
      </c>
    </row>
    <row r="142" spans="1:16" ht="25.5">
      <c r="A142" s="129" t="s">
        <v>333</v>
      </c>
      <c r="B142" s="129"/>
      <c r="C142" s="3" t="s">
        <v>232</v>
      </c>
      <c r="D142" s="134" t="s">
        <v>0</v>
      </c>
      <c r="E142" s="144">
        <v>30.9</v>
      </c>
      <c r="F142" s="202">
        <v>0.5</v>
      </c>
      <c r="G142" s="203">
        <v>6</v>
      </c>
      <c r="H142" s="204">
        <f t="shared" si="17"/>
        <v>3</v>
      </c>
      <c r="I142" s="205">
        <v>3.5</v>
      </c>
      <c r="J142" s="206">
        <v>0.05</v>
      </c>
      <c r="K142" s="207">
        <f t="shared" si="18"/>
        <v>6.55</v>
      </c>
      <c r="L142" s="204">
        <f t="shared" si="19"/>
        <v>15.45</v>
      </c>
      <c r="M142" s="207">
        <f t="shared" si="20"/>
        <v>92.7</v>
      </c>
      <c r="N142" s="204">
        <f t="shared" si="21"/>
        <v>108.15</v>
      </c>
      <c r="O142" s="204">
        <f t="shared" si="22"/>
        <v>1.55</v>
      </c>
      <c r="P142" s="204">
        <f t="shared" si="23"/>
        <v>202.4</v>
      </c>
    </row>
    <row r="143" spans="1:16" ht="25.5">
      <c r="A143" s="129" t="s">
        <v>334</v>
      </c>
      <c r="B143" s="129"/>
      <c r="C143" s="3" t="s">
        <v>233</v>
      </c>
      <c r="D143" s="134" t="s">
        <v>0</v>
      </c>
      <c r="E143" s="144">
        <v>14.8</v>
      </c>
      <c r="F143" s="202">
        <v>0.5</v>
      </c>
      <c r="G143" s="203">
        <v>6</v>
      </c>
      <c r="H143" s="204">
        <f t="shared" si="17"/>
        <v>3</v>
      </c>
      <c r="I143" s="205">
        <v>3.4</v>
      </c>
      <c r="J143" s="206">
        <v>0.05</v>
      </c>
      <c r="K143" s="207">
        <f t="shared" si="18"/>
        <v>6.45</v>
      </c>
      <c r="L143" s="204">
        <f t="shared" si="19"/>
        <v>7.4</v>
      </c>
      <c r="M143" s="207">
        <f t="shared" si="20"/>
        <v>44.4</v>
      </c>
      <c r="N143" s="204">
        <f t="shared" si="21"/>
        <v>50.32</v>
      </c>
      <c r="O143" s="204">
        <f t="shared" si="22"/>
        <v>0.74</v>
      </c>
      <c r="P143" s="204">
        <f t="shared" si="23"/>
        <v>95.46</v>
      </c>
    </row>
    <row r="144" spans="1:16" ht="38.25">
      <c r="A144" s="129" t="s">
        <v>335</v>
      </c>
      <c r="B144" s="129"/>
      <c r="C144" s="3" t="s">
        <v>234</v>
      </c>
      <c r="D144" s="134" t="s">
        <v>0</v>
      </c>
      <c r="E144" s="144">
        <v>22.5</v>
      </c>
      <c r="F144" s="202">
        <v>0.5</v>
      </c>
      <c r="G144" s="203">
        <v>6</v>
      </c>
      <c r="H144" s="204">
        <f t="shared" si="17"/>
        <v>3</v>
      </c>
      <c r="I144" s="205">
        <v>4.3</v>
      </c>
      <c r="J144" s="206">
        <v>0.05</v>
      </c>
      <c r="K144" s="207">
        <f t="shared" si="18"/>
        <v>7.35</v>
      </c>
      <c r="L144" s="204">
        <f t="shared" si="19"/>
        <v>11.25</v>
      </c>
      <c r="M144" s="207">
        <f t="shared" si="20"/>
        <v>67.5</v>
      </c>
      <c r="N144" s="204">
        <f t="shared" si="21"/>
        <v>96.75</v>
      </c>
      <c r="O144" s="204">
        <f t="shared" si="22"/>
        <v>1.1299999999999999</v>
      </c>
      <c r="P144" s="204">
        <f t="shared" si="23"/>
        <v>165.38</v>
      </c>
    </row>
    <row r="145" spans="1:16" ht="25.5">
      <c r="A145" s="129" t="s">
        <v>336</v>
      </c>
      <c r="B145" s="129"/>
      <c r="C145" s="3" t="s">
        <v>235</v>
      </c>
      <c r="D145" s="134" t="s">
        <v>0</v>
      </c>
      <c r="E145" s="144">
        <v>7</v>
      </c>
      <c r="F145" s="202">
        <v>1</v>
      </c>
      <c r="G145" s="203">
        <v>6</v>
      </c>
      <c r="H145" s="204">
        <f t="shared" si="17"/>
        <v>6</v>
      </c>
      <c r="I145" s="205">
        <v>18</v>
      </c>
      <c r="J145" s="206">
        <v>0.05</v>
      </c>
      <c r="K145" s="207">
        <f t="shared" si="18"/>
        <v>24.05</v>
      </c>
      <c r="L145" s="204">
        <f t="shared" si="19"/>
        <v>7</v>
      </c>
      <c r="M145" s="207">
        <f t="shared" si="20"/>
        <v>42</v>
      </c>
      <c r="N145" s="204">
        <f t="shared" si="21"/>
        <v>126</v>
      </c>
      <c r="O145" s="204">
        <f t="shared" si="22"/>
        <v>0.35</v>
      </c>
      <c r="P145" s="204">
        <f t="shared" si="23"/>
        <v>168.35</v>
      </c>
    </row>
    <row r="146" spans="1:16" ht="25.5">
      <c r="A146" s="129" t="s">
        <v>988</v>
      </c>
      <c r="B146" s="129"/>
      <c r="C146" s="3" t="s">
        <v>236</v>
      </c>
      <c r="D146" s="12" t="s">
        <v>20</v>
      </c>
      <c r="E146" s="131">
        <v>0.8</v>
      </c>
      <c r="F146" s="202">
        <v>4</v>
      </c>
      <c r="G146" s="203">
        <v>6</v>
      </c>
      <c r="H146" s="204">
        <f t="shared" si="17"/>
        <v>24</v>
      </c>
      <c r="I146" s="205">
        <v>16</v>
      </c>
      <c r="J146" s="206">
        <v>0.5</v>
      </c>
      <c r="K146" s="207">
        <f t="shared" si="18"/>
        <v>40.5</v>
      </c>
      <c r="L146" s="204">
        <f t="shared" si="19"/>
        <v>3.2</v>
      </c>
      <c r="M146" s="207">
        <f t="shared" si="20"/>
        <v>19.2</v>
      </c>
      <c r="N146" s="204">
        <f t="shared" si="21"/>
        <v>12.8</v>
      </c>
      <c r="O146" s="204">
        <f t="shared" si="22"/>
        <v>0.4</v>
      </c>
      <c r="P146" s="204">
        <f t="shared" si="23"/>
        <v>32.4</v>
      </c>
    </row>
    <row r="147" spans="1:16" ht="63.75">
      <c r="A147" s="146" t="s">
        <v>989</v>
      </c>
      <c r="B147" s="146"/>
      <c r="C147" s="43" t="s">
        <v>1045</v>
      </c>
      <c r="D147" s="147" t="s">
        <v>0</v>
      </c>
      <c r="E147" s="148">
        <v>30.5</v>
      </c>
      <c r="F147" s="202">
        <f>4/5</f>
        <v>0.8</v>
      </c>
      <c r="G147" s="203">
        <v>6</v>
      </c>
      <c r="H147" s="204">
        <f t="shared" ref="H147:H210" si="28">ROUND(G147*F147,2)</f>
        <v>4.8</v>
      </c>
      <c r="I147" s="205">
        <v>10</v>
      </c>
      <c r="J147" s="206">
        <v>0.1</v>
      </c>
      <c r="K147" s="207">
        <f t="shared" ref="K147:K210" si="29">SUM(H147:J147)</f>
        <v>14.9</v>
      </c>
      <c r="L147" s="204">
        <f t="shared" ref="L147:L210" si="30">ROUND(F147*E147,2)</f>
        <v>24.4</v>
      </c>
      <c r="M147" s="207">
        <f t="shared" ref="M147:M210" si="31">ROUND(H147*E147,2)</f>
        <v>146.4</v>
      </c>
      <c r="N147" s="204">
        <f t="shared" ref="N147:N210" si="32">ROUND(I147*E147,2)</f>
        <v>305</v>
      </c>
      <c r="O147" s="204">
        <f t="shared" ref="O147:O210" si="33">ROUND(J147*E147,2)</f>
        <v>3.05</v>
      </c>
      <c r="P147" s="204">
        <f t="shared" ref="P147:P210" si="34">SUM(M147:O147)</f>
        <v>454.45</v>
      </c>
    </row>
    <row r="148" spans="1:16" ht="63.75">
      <c r="A148" s="146" t="s">
        <v>990</v>
      </c>
      <c r="B148" s="146"/>
      <c r="C148" s="43" t="s">
        <v>237</v>
      </c>
      <c r="D148" s="147" t="s">
        <v>0</v>
      </c>
      <c r="E148" s="148">
        <v>13</v>
      </c>
      <c r="F148" s="202">
        <v>0.8</v>
      </c>
      <c r="G148" s="203">
        <v>6</v>
      </c>
      <c r="H148" s="204">
        <f t="shared" si="28"/>
        <v>4.8</v>
      </c>
      <c r="I148" s="205">
        <v>11</v>
      </c>
      <c r="J148" s="206">
        <v>0.1</v>
      </c>
      <c r="K148" s="207">
        <f t="shared" si="29"/>
        <v>15.9</v>
      </c>
      <c r="L148" s="204">
        <f t="shared" si="30"/>
        <v>10.4</v>
      </c>
      <c r="M148" s="207">
        <f t="shared" si="31"/>
        <v>62.4</v>
      </c>
      <c r="N148" s="204">
        <f t="shared" si="32"/>
        <v>143</v>
      </c>
      <c r="O148" s="204">
        <f t="shared" si="33"/>
        <v>1.3</v>
      </c>
      <c r="P148" s="204">
        <f t="shared" si="34"/>
        <v>206.7</v>
      </c>
    </row>
    <row r="149" spans="1:16" ht="38.25">
      <c r="A149" s="146" t="s">
        <v>991</v>
      </c>
      <c r="B149" s="146"/>
      <c r="C149" s="43" t="s">
        <v>1054</v>
      </c>
      <c r="D149" s="147" t="s">
        <v>0</v>
      </c>
      <c r="E149" s="148">
        <v>10.75</v>
      </c>
      <c r="F149" s="202">
        <v>1</v>
      </c>
      <c r="G149" s="203">
        <v>6</v>
      </c>
      <c r="H149" s="204">
        <f t="shared" si="28"/>
        <v>6</v>
      </c>
      <c r="I149" s="205">
        <v>3</v>
      </c>
      <c r="J149" s="206">
        <v>0.1</v>
      </c>
      <c r="K149" s="207">
        <f t="shared" si="29"/>
        <v>9.1</v>
      </c>
      <c r="L149" s="204">
        <f t="shared" si="30"/>
        <v>10.75</v>
      </c>
      <c r="M149" s="207">
        <f t="shared" si="31"/>
        <v>64.5</v>
      </c>
      <c r="N149" s="204">
        <f t="shared" si="32"/>
        <v>32.25</v>
      </c>
      <c r="O149" s="204">
        <f t="shared" si="33"/>
        <v>1.08</v>
      </c>
      <c r="P149" s="204">
        <f t="shared" si="34"/>
        <v>97.83</v>
      </c>
    </row>
    <row r="150" spans="1:16" ht="38.25">
      <c r="A150" s="129" t="s">
        <v>992</v>
      </c>
      <c r="B150" s="129"/>
      <c r="C150" s="4" t="s">
        <v>238</v>
      </c>
      <c r="D150" s="6" t="s">
        <v>19</v>
      </c>
      <c r="E150" s="131">
        <v>1</v>
      </c>
      <c r="F150" s="202">
        <v>4</v>
      </c>
      <c r="G150" s="203">
        <v>6</v>
      </c>
      <c r="H150" s="204">
        <f t="shared" si="28"/>
        <v>24</v>
      </c>
      <c r="I150" s="205">
        <v>200</v>
      </c>
      <c r="J150" s="206">
        <v>1</v>
      </c>
      <c r="K150" s="207">
        <f t="shared" si="29"/>
        <v>225</v>
      </c>
      <c r="L150" s="204">
        <f t="shared" si="30"/>
        <v>4</v>
      </c>
      <c r="M150" s="207">
        <f t="shared" si="31"/>
        <v>24</v>
      </c>
      <c r="N150" s="204">
        <f t="shared" si="32"/>
        <v>200</v>
      </c>
      <c r="O150" s="204">
        <f t="shared" si="33"/>
        <v>1</v>
      </c>
      <c r="P150" s="204">
        <f t="shared" si="34"/>
        <v>225</v>
      </c>
    </row>
    <row r="151" spans="1:16">
      <c r="A151" s="129" t="s">
        <v>1019</v>
      </c>
      <c r="B151" s="129"/>
      <c r="C151" s="3" t="s">
        <v>29</v>
      </c>
      <c r="D151" s="12" t="s">
        <v>19</v>
      </c>
      <c r="E151" s="133">
        <v>1</v>
      </c>
      <c r="F151" s="202"/>
      <c r="G151" s="203">
        <v>6</v>
      </c>
      <c r="H151" s="204">
        <f t="shared" si="28"/>
        <v>0</v>
      </c>
      <c r="I151" s="205"/>
      <c r="J151" s="206">
        <v>300</v>
      </c>
      <c r="K151" s="207">
        <f t="shared" si="29"/>
        <v>300</v>
      </c>
      <c r="L151" s="204">
        <f t="shared" si="30"/>
        <v>0</v>
      </c>
      <c r="M151" s="207">
        <f t="shared" si="31"/>
        <v>0</v>
      </c>
      <c r="N151" s="204">
        <f t="shared" si="32"/>
        <v>0</v>
      </c>
      <c r="O151" s="204">
        <f t="shared" si="33"/>
        <v>300</v>
      </c>
      <c r="P151" s="204">
        <f t="shared" si="34"/>
        <v>300</v>
      </c>
    </row>
    <row r="152" spans="1:16">
      <c r="A152" s="129" t="s">
        <v>1048</v>
      </c>
      <c r="B152" s="129"/>
      <c r="C152" s="8" t="s">
        <v>30</v>
      </c>
      <c r="D152" s="134" t="s">
        <v>19</v>
      </c>
      <c r="E152" s="131">
        <v>1</v>
      </c>
      <c r="F152" s="202"/>
      <c r="G152" s="203">
        <v>6</v>
      </c>
      <c r="H152" s="204">
        <f t="shared" si="28"/>
        <v>0</v>
      </c>
      <c r="I152" s="205"/>
      <c r="J152" s="206">
        <v>100</v>
      </c>
      <c r="K152" s="207">
        <f t="shared" si="29"/>
        <v>100</v>
      </c>
      <c r="L152" s="204">
        <f t="shared" si="30"/>
        <v>0</v>
      </c>
      <c r="M152" s="207">
        <f t="shared" si="31"/>
        <v>0</v>
      </c>
      <c r="N152" s="204">
        <f t="shared" si="32"/>
        <v>0</v>
      </c>
      <c r="O152" s="204">
        <f t="shared" si="33"/>
        <v>100</v>
      </c>
      <c r="P152" s="204">
        <f t="shared" si="34"/>
        <v>100</v>
      </c>
    </row>
    <row r="153" spans="1:16">
      <c r="A153" s="126" t="s">
        <v>146</v>
      </c>
      <c r="B153" s="126"/>
      <c r="C153" s="7" t="s">
        <v>239</v>
      </c>
      <c r="D153" s="134"/>
      <c r="E153" s="133"/>
      <c r="F153" s="202"/>
      <c r="G153" s="203">
        <v>6</v>
      </c>
      <c r="H153" s="204">
        <f t="shared" si="28"/>
        <v>0</v>
      </c>
      <c r="I153" s="205"/>
      <c r="J153" s="206"/>
      <c r="K153" s="207">
        <f t="shared" si="29"/>
        <v>0</v>
      </c>
      <c r="L153" s="204">
        <f t="shared" si="30"/>
        <v>0</v>
      </c>
      <c r="M153" s="207">
        <f t="shared" si="31"/>
        <v>0</v>
      </c>
      <c r="N153" s="204">
        <f t="shared" si="32"/>
        <v>0</v>
      </c>
      <c r="O153" s="204">
        <f t="shared" si="33"/>
        <v>0</v>
      </c>
      <c r="P153" s="204">
        <f t="shared" si="34"/>
        <v>0</v>
      </c>
    </row>
    <row r="154" spans="1:16">
      <c r="A154" s="129" t="s">
        <v>337</v>
      </c>
      <c r="B154" s="129"/>
      <c r="C154" s="7" t="s">
        <v>240</v>
      </c>
      <c r="D154" s="134"/>
      <c r="E154" s="133"/>
      <c r="F154" s="202"/>
      <c r="G154" s="203">
        <v>6</v>
      </c>
      <c r="H154" s="204">
        <f t="shared" si="28"/>
        <v>0</v>
      </c>
      <c r="I154" s="205"/>
      <c r="J154" s="206"/>
      <c r="K154" s="207">
        <f t="shared" si="29"/>
        <v>0</v>
      </c>
      <c r="L154" s="204">
        <f t="shared" si="30"/>
        <v>0</v>
      </c>
      <c r="M154" s="207">
        <f t="shared" si="31"/>
        <v>0</v>
      </c>
      <c r="N154" s="204">
        <f t="shared" si="32"/>
        <v>0</v>
      </c>
      <c r="O154" s="204">
        <f t="shared" si="33"/>
        <v>0</v>
      </c>
      <c r="P154" s="204">
        <f t="shared" si="34"/>
        <v>0</v>
      </c>
    </row>
    <row r="155" spans="1:16" ht="63.75">
      <c r="A155" s="129" t="s">
        <v>338</v>
      </c>
      <c r="B155" s="129"/>
      <c r="C155" s="20" t="s">
        <v>241</v>
      </c>
      <c r="D155" s="149" t="s">
        <v>20</v>
      </c>
      <c r="E155" s="150">
        <v>1.73</v>
      </c>
      <c r="F155" s="202">
        <v>3</v>
      </c>
      <c r="G155" s="203">
        <v>6</v>
      </c>
      <c r="H155" s="204">
        <f t="shared" si="28"/>
        <v>18</v>
      </c>
      <c r="I155" s="205">
        <v>130</v>
      </c>
      <c r="J155" s="206">
        <v>0.5</v>
      </c>
      <c r="K155" s="207">
        <f t="shared" si="29"/>
        <v>148.5</v>
      </c>
      <c r="L155" s="204">
        <f t="shared" si="30"/>
        <v>5.19</v>
      </c>
      <c r="M155" s="207">
        <f t="shared" si="31"/>
        <v>31.14</v>
      </c>
      <c r="N155" s="204">
        <f t="shared" si="32"/>
        <v>224.9</v>
      </c>
      <c r="O155" s="204">
        <f t="shared" si="33"/>
        <v>0.87</v>
      </c>
      <c r="P155" s="204">
        <f t="shared" si="34"/>
        <v>256.91000000000003</v>
      </c>
    </row>
    <row r="156" spans="1:16" ht="63.75">
      <c r="A156" s="129" t="s">
        <v>339</v>
      </c>
      <c r="B156" s="129"/>
      <c r="C156" s="20" t="s">
        <v>242</v>
      </c>
      <c r="D156" s="149" t="s">
        <v>20</v>
      </c>
      <c r="E156" s="150">
        <v>1.73</v>
      </c>
      <c r="F156" s="202">
        <v>3</v>
      </c>
      <c r="G156" s="203">
        <v>6</v>
      </c>
      <c r="H156" s="204">
        <f t="shared" ref="H156:H160" si="35">ROUND(G156*F156,2)</f>
        <v>18</v>
      </c>
      <c r="I156" s="205">
        <v>130</v>
      </c>
      <c r="J156" s="206">
        <v>0.5</v>
      </c>
      <c r="K156" s="207">
        <f t="shared" si="29"/>
        <v>148.5</v>
      </c>
      <c r="L156" s="204">
        <f t="shared" si="30"/>
        <v>5.19</v>
      </c>
      <c r="M156" s="207">
        <f t="shared" si="31"/>
        <v>31.14</v>
      </c>
      <c r="N156" s="204">
        <f t="shared" si="32"/>
        <v>224.9</v>
      </c>
      <c r="O156" s="204">
        <f t="shared" si="33"/>
        <v>0.87</v>
      </c>
      <c r="P156" s="204">
        <f t="shared" si="34"/>
        <v>256.91000000000003</v>
      </c>
    </row>
    <row r="157" spans="1:16" ht="63.75">
      <c r="A157" s="129" t="s">
        <v>340</v>
      </c>
      <c r="B157" s="129"/>
      <c r="C157" s="20" t="s">
        <v>243</v>
      </c>
      <c r="D157" s="149" t="s">
        <v>20</v>
      </c>
      <c r="E157" s="150">
        <v>1.65</v>
      </c>
      <c r="F157" s="202">
        <v>3</v>
      </c>
      <c r="G157" s="203">
        <v>6</v>
      </c>
      <c r="H157" s="204">
        <f t="shared" si="35"/>
        <v>18</v>
      </c>
      <c r="I157" s="205">
        <v>130</v>
      </c>
      <c r="J157" s="206">
        <v>0.5</v>
      </c>
      <c r="K157" s="207">
        <f t="shared" si="29"/>
        <v>148.5</v>
      </c>
      <c r="L157" s="204">
        <f t="shared" si="30"/>
        <v>4.95</v>
      </c>
      <c r="M157" s="207">
        <f t="shared" si="31"/>
        <v>29.7</v>
      </c>
      <c r="N157" s="204">
        <f t="shared" si="32"/>
        <v>214.5</v>
      </c>
      <c r="O157" s="204">
        <f t="shared" si="33"/>
        <v>0.83</v>
      </c>
      <c r="P157" s="204">
        <f t="shared" si="34"/>
        <v>245.03</v>
      </c>
    </row>
    <row r="158" spans="1:16" ht="63.75">
      <c r="A158" s="129" t="s">
        <v>341</v>
      </c>
      <c r="B158" s="129"/>
      <c r="C158" s="20" t="s">
        <v>244</v>
      </c>
      <c r="D158" s="149" t="s">
        <v>20</v>
      </c>
      <c r="E158" s="150">
        <v>5.26</v>
      </c>
      <c r="F158" s="202">
        <v>3</v>
      </c>
      <c r="G158" s="203">
        <v>6</v>
      </c>
      <c r="H158" s="204">
        <f t="shared" si="35"/>
        <v>18</v>
      </c>
      <c r="I158" s="205">
        <v>130</v>
      </c>
      <c r="J158" s="206">
        <v>0.5</v>
      </c>
      <c r="K158" s="207">
        <f t="shared" si="29"/>
        <v>148.5</v>
      </c>
      <c r="L158" s="204">
        <f t="shared" si="30"/>
        <v>15.78</v>
      </c>
      <c r="M158" s="207">
        <f t="shared" si="31"/>
        <v>94.68</v>
      </c>
      <c r="N158" s="204">
        <f t="shared" si="32"/>
        <v>683.8</v>
      </c>
      <c r="O158" s="204">
        <f t="shared" si="33"/>
        <v>2.63</v>
      </c>
      <c r="P158" s="204">
        <f t="shared" si="34"/>
        <v>781.11</v>
      </c>
    </row>
    <row r="159" spans="1:16" ht="63.75">
      <c r="A159" s="129" t="s">
        <v>342</v>
      </c>
      <c r="B159" s="129"/>
      <c r="C159" s="20" t="s">
        <v>245</v>
      </c>
      <c r="D159" s="149" t="s">
        <v>20</v>
      </c>
      <c r="E159" s="150">
        <v>7.02</v>
      </c>
      <c r="F159" s="202">
        <v>3</v>
      </c>
      <c r="G159" s="203">
        <v>6</v>
      </c>
      <c r="H159" s="204">
        <f t="shared" si="35"/>
        <v>18</v>
      </c>
      <c r="I159" s="205">
        <v>130</v>
      </c>
      <c r="J159" s="206">
        <v>0.5</v>
      </c>
      <c r="K159" s="207">
        <f t="shared" si="29"/>
        <v>148.5</v>
      </c>
      <c r="L159" s="204">
        <f t="shared" si="30"/>
        <v>21.06</v>
      </c>
      <c r="M159" s="207">
        <f t="shared" si="31"/>
        <v>126.36</v>
      </c>
      <c r="N159" s="204">
        <f t="shared" si="32"/>
        <v>912.6</v>
      </c>
      <c r="O159" s="204">
        <f t="shared" si="33"/>
        <v>3.51</v>
      </c>
      <c r="P159" s="204">
        <f t="shared" si="34"/>
        <v>1042.47</v>
      </c>
    </row>
    <row r="160" spans="1:16" ht="38.25">
      <c r="A160" s="129" t="s">
        <v>343</v>
      </c>
      <c r="B160" s="129"/>
      <c r="C160" s="20" t="s">
        <v>246</v>
      </c>
      <c r="D160" s="149" t="s">
        <v>20</v>
      </c>
      <c r="E160" s="150">
        <v>1.03</v>
      </c>
      <c r="F160" s="202">
        <v>3</v>
      </c>
      <c r="G160" s="203">
        <v>6</v>
      </c>
      <c r="H160" s="204">
        <f t="shared" si="35"/>
        <v>18</v>
      </c>
      <c r="I160" s="205">
        <v>130</v>
      </c>
      <c r="J160" s="206">
        <v>0.5</v>
      </c>
      <c r="K160" s="207">
        <f t="shared" si="29"/>
        <v>148.5</v>
      </c>
      <c r="L160" s="204">
        <f t="shared" si="30"/>
        <v>3.09</v>
      </c>
      <c r="M160" s="207">
        <f t="shared" si="31"/>
        <v>18.54</v>
      </c>
      <c r="N160" s="204">
        <f t="shared" si="32"/>
        <v>133.9</v>
      </c>
      <c r="O160" s="204">
        <f t="shared" si="33"/>
        <v>0.52</v>
      </c>
      <c r="P160" s="204">
        <f t="shared" si="34"/>
        <v>152.96</v>
      </c>
    </row>
    <row r="161" spans="1:16">
      <c r="A161" s="129" t="s">
        <v>344</v>
      </c>
      <c r="B161" s="129"/>
      <c r="C161" s="7" t="s">
        <v>247</v>
      </c>
      <c r="D161" s="149"/>
      <c r="E161" s="150"/>
      <c r="F161" s="202"/>
      <c r="G161" s="203">
        <v>6</v>
      </c>
      <c r="H161" s="204">
        <f t="shared" si="28"/>
        <v>0</v>
      </c>
      <c r="I161" s="205"/>
      <c r="J161" s="206"/>
      <c r="K161" s="207">
        <f t="shared" si="29"/>
        <v>0</v>
      </c>
      <c r="L161" s="204">
        <f t="shared" si="30"/>
        <v>0</v>
      </c>
      <c r="M161" s="207">
        <f t="shared" si="31"/>
        <v>0</v>
      </c>
      <c r="N161" s="204">
        <f t="shared" si="32"/>
        <v>0</v>
      </c>
      <c r="O161" s="204">
        <f t="shared" si="33"/>
        <v>0</v>
      </c>
      <c r="P161" s="204">
        <f t="shared" si="34"/>
        <v>0</v>
      </c>
    </row>
    <row r="162" spans="1:16" ht="76.5">
      <c r="A162" s="129" t="s">
        <v>345</v>
      </c>
      <c r="B162" s="129"/>
      <c r="C162" s="3" t="s">
        <v>248</v>
      </c>
      <c r="D162" s="134" t="s">
        <v>20</v>
      </c>
      <c r="E162" s="139">
        <v>7.56</v>
      </c>
      <c r="F162" s="202">
        <v>3</v>
      </c>
      <c r="G162" s="203">
        <v>6</v>
      </c>
      <c r="H162" s="204">
        <f t="shared" si="28"/>
        <v>18</v>
      </c>
      <c r="I162" s="205">
        <v>270</v>
      </c>
      <c r="J162" s="206">
        <v>0.5</v>
      </c>
      <c r="K162" s="207">
        <f t="shared" si="29"/>
        <v>288.5</v>
      </c>
      <c r="L162" s="204">
        <f t="shared" si="30"/>
        <v>22.68</v>
      </c>
      <c r="M162" s="207">
        <f t="shared" si="31"/>
        <v>136.08000000000001</v>
      </c>
      <c r="N162" s="204">
        <f t="shared" si="32"/>
        <v>2041.2</v>
      </c>
      <c r="O162" s="204">
        <f t="shared" si="33"/>
        <v>3.78</v>
      </c>
      <c r="P162" s="204">
        <f t="shared" si="34"/>
        <v>2181.06</v>
      </c>
    </row>
    <row r="163" spans="1:16" ht="63.75">
      <c r="A163" s="129" t="s">
        <v>346</v>
      </c>
      <c r="B163" s="129"/>
      <c r="C163" s="3" t="s">
        <v>249</v>
      </c>
      <c r="D163" s="134" t="s">
        <v>20</v>
      </c>
      <c r="E163" s="139">
        <v>4.8899999999999997</v>
      </c>
      <c r="F163" s="202">
        <v>3</v>
      </c>
      <c r="G163" s="203">
        <v>6</v>
      </c>
      <c r="H163" s="204">
        <f t="shared" si="28"/>
        <v>18</v>
      </c>
      <c r="I163" s="205">
        <v>200</v>
      </c>
      <c r="J163" s="206">
        <v>0.5</v>
      </c>
      <c r="K163" s="207">
        <f t="shared" si="29"/>
        <v>218.5</v>
      </c>
      <c r="L163" s="204">
        <f t="shared" si="30"/>
        <v>14.67</v>
      </c>
      <c r="M163" s="207">
        <f t="shared" si="31"/>
        <v>88.02</v>
      </c>
      <c r="N163" s="204">
        <f t="shared" si="32"/>
        <v>978</v>
      </c>
      <c r="O163" s="204">
        <f t="shared" si="33"/>
        <v>2.4500000000000002</v>
      </c>
      <c r="P163" s="204">
        <f t="shared" si="34"/>
        <v>1068.47</v>
      </c>
    </row>
    <row r="164" spans="1:16">
      <c r="A164" s="129" t="s">
        <v>347</v>
      </c>
      <c r="B164" s="129"/>
      <c r="C164" s="7" t="s">
        <v>250</v>
      </c>
      <c r="D164" s="149"/>
      <c r="E164" s="150"/>
      <c r="F164" s="202"/>
      <c r="G164" s="203">
        <v>6</v>
      </c>
      <c r="H164" s="204">
        <f t="shared" si="28"/>
        <v>0</v>
      </c>
      <c r="I164" s="205"/>
      <c r="J164" s="206"/>
      <c r="K164" s="207">
        <f t="shared" si="29"/>
        <v>0</v>
      </c>
      <c r="L164" s="204">
        <f t="shared" si="30"/>
        <v>0</v>
      </c>
      <c r="M164" s="207">
        <f t="shared" si="31"/>
        <v>0</v>
      </c>
      <c r="N164" s="204">
        <f t="shared" si="32"/>
        <v>0</v>
      </c>
      <c r="O164" s="204">
        <f t="shared" si="33"/>
        <v>0</v>
      </c>
      <c r="P164" s="204">
        <f t="shared" si="34"/>
        <v>0</v>
      </c>
    </row>
    <row r="165" spans="1:16" ht="38.25">
      <c r="A165" s="129" t="s">
        <v>348</v>
      </c>
      <c r="B165" s="129"/>
      <c r="C165" s="3" t="s">
        <v>963</v>
      </c>
      <c r="D165" s="151" t="s">
        <v>20</v>
      </c>
      <c r="E165" s="133">
        <v>2.31</v>
      </c>
      <c r="F165" s="202">
        <v>4</v>
      </c>
      <c r="G165" s="203">
        <v>6</v>
      </c>
      <c r="H165" s="204">
        <f t="shared" si="28"/>
        <v>24</v>
      </c>
      <c r="I165" s="205">
        <v>160</v>
      </c>
      <c r="J165" s="206">
        <v>0.5</v>
      </c>
      <c r="K165" s="207">
        <f t="shared" si="29"/>
        <v>184.5</v>
      </c>
      <c r="L165" s="204">
        <f t="shared" si="30"/>
        <v>9.24</v>
      </c>
      <c r="M165" s="207">
        <f t="shared" si="31"/>
        <v>55.44</v>
      </c>
      <c r="N165" s="204">
        <f t="shared" si="32"/>
        <v>369.6</v>
      </c>
      <c r="O165" s="204">
        <f t="shared" si="33"/>
        <v>1.1599999999999999</v>
      </c>
      <c r="P165" s="204">
        <f t="shared" si="34"/>
        <v>426.2</v>
      </c>
    </row>
    <row r="166" spans="1:16" ht="51">
      <c r="A166" s="129" t="s">
        <v>349</v>
      </c>
      <c r="B166" s="129"/>
      <c r="C166" s="3" t="s">
        <v>964</v>
      </c>
      <c r="D166" s="151" t="s">
        <v>20</v>
      </c>
      <c r="E166" s="133">
        <v>3.73</v>
      </c>
      <c r="F166" s="202">
        <v>4</v>
      </c>
      <c r="G166" s="203">
        <v>6</v>
      </c>
      <c r="H166" s="204">
        <f t="shared" si="28"/>
        <v>24</v>
      </c>
      <c r="I166" s="205">
        <v>160</v>
      </c>
      <c r="J166" s="206">
        <v>0.5</v>
      </c>
      <c r="K166" s="207">
        <f t="shared" si="29"/>
        <v>184.5</v>
      </c>
      <c r="L166" s="204">
        <f t="shared" si="30"/>
        <v>14.92</v>
      </c>
      <c r="M166" s="207">
        <f t="shared" si="31"/>
        <v>89.52</v>
      </c>
      <c r="N166" s="204">
        <f t="shared" si="32"/>
        <v>596.79999999999995</v>
      </c>
      <c r="O166" s="204">
        <f t="shared" si="33"/>
        <v>1.87</v>
      </c>
      <c r="P166" s="204">
        <f t="shared" si="34"/>
        <v>688.19</v>
      </c>
    </row>
    <row r="167" spans="1:16" ht="38.25">
      <c r="A167" s="129" t="s">
        <v>350</v>
      </c>
      <c r="B167" s="129"/>
      <c r="C167" s="3" t="s">
        <v>251</v>
      </c>
      <c r="D167" s="151" t="s">
        <v>20</v>
      </c>
      <c r="E167" s="133">
        <v>7.45</v>
      </c>
      <c r="F167" s="202">
        <v>4</v>
      </c>
      <c r="G167" s="203">
        <v>6</v>
      </c>
      <c r="H167" s="204">
        <f t="shared" si="28"/>
        <v>24</v>
      </c>
      <c r="I167" s="205">
        <v>120</v>
      </c>
      <c r="J167" s="206">
        <v>0.5</v>
      </c>
      <c r="K167" s="207">
        <f t="shared" si="29"/>
        <v>144.5</v>
      </c>
      <c r="L167" s="204">
        <f t="shared" si="30"/>
        <v>29.8</v>
      </c>
      <c r="M167" s="207">
        <f t="shared" si="31"/>
        <v>178.8</v>
      </c>
      <c r="N167" s="204">
        <f t="shared" si="32"/>
        <v>894</v>
      </c>
      <c r="O167" s="204">
        <f t="shared" si="33"/>
        <v>3.73</v>
      </c>
      <c r="P167" s="204">
        <f t="shared" si="34"/>
        <v>1076.53</v>
      </c>
    </row>
    <row r="168" spans="1:16" ht="38.25">
      <c r="A168" s="129" t="s">
        <v>351</v>
      </c>
      <c r="B168" s="129"/>
      <c r="C168" s="3" t="s">
        <v>965</v>
      </c>
      <c r="D168" s="151" t="s">
        <v>20</v>
      </c>
      <c r="E168" s="133">
        <v>1.66</v>
      </c>
      <c r="F168" s="202">
        <v>4</v>
      </c>
      <c r="G168" s="203">
        <v>6</v>
      </c>
      <c r="H168" s="204">
        <f t="shared" si="28"/>
        <v>24</v>
      </c>
      <c r="I168" s="205">
        <v>120</v>
      </c>
      <c r="J168" s="206">
        <v>0.5</v>
      </c>
      <c r="K168" s="207">
        <f t="shared" si="29"/>
        <v>144.5</v>
      </c>
      <c r="L168" s="204">
        <f t="shared" si="30"/>
        <v>6.64</v>
      </c>
      <c r="M168" s="207">
        <f t="shared" si="31"/>
        <v>39.840000000000003</v>
      </c>
      <c r="N168" s="204">
        <f t="shared" si="32"/>
        <v>199.2</v>
      </c>
      <c r="O168" s="204">
        <f t="shared" si="33"/>
        <v>0.83</v>
      </c>
      <c r="P168" s="204">
        <f t="shared" si="34"/>
        <v>239.87</v>
      </c>
    </row>
    <row r="169" spans="1:16" ht="38.25">
      <c r="A169" s="129" t="s">
        <v>352</v>
      </c>
      <c r="B169" s="129"/>
      <c r="C169" s="3" t="s">
        <v>252</v>
      </c>
      <c r="D169" s="151" t="s">
        <v>20</v>
      </c>
      <c r="E169" s="133">
        <v>1.66</v>
      </c>
      <c r="F169" s="202">
        <v>4</v>
      </c>
      <c r="G169" s="203">
        <v>6</v>
      </c>
      <c r="H169" s="204">
        <f t="shared" si="28"/>
        <v>24</v>
      </c>
      <c r="I169" s="205">
        <v>120</v>
      </c>
      <c r="J169" s="206">
        <v>0.5</v>
      </c>
      <c r="K169" s="207">
        <f t="shared" si="29"/>
        <v>144.5</v>
      </c>
      <c r="L169" s="204">
        <f t="shared" si="30"/>
        <v>6.64</v>
      </c>
      <c r="M169" s="207">
        <f t="shared" si="31"/>
        <v>39.840000000000003</v>
      </c>
      <c r="N169" s="204">
        <f t="shared" si="32"/>
        <v>199.2</v>
      </c>
      <c r="O169" s="204">
        <f t="shared" si="33"/>
        <v>0.83</v>
      </c>
      <c r="P169" s="204">
        <f t="shared" si="34"/>
        <v>239.87</v>
      </c>
    </row>
    <row r="170" spans="1:16" ht="38.25">
      <c r="A170" s="129" t="s">
        <v>993</v>
      </c>
      <c r="B170" s="129"/>
      <c r="C170" s="3" t="s">
        <v>966</v>
      </c>
      <c r="D170" s="151" t="s">
        <v>20</v>
      </c>
      <c r="E170" s="133">
        <v>2.0699999999999998</v>
      </c>
      <c r="F170" s="202">
        <v>4</v>
      </c>
      <c r="G170" s="203">
        <v>6</v>
      </c>
      <c r="H170" s="204">
        <f t="shared" si="28"/>
        <v>24</v>
      </c>
      <c r="I170" s="205">
        <v>120</v>
      </c>
      <c r="J170" s="206">
        <v>0.5</v>
      </c>
      <c r="K170" s="207">
        <f t="shared" si="29"/>
        <v>144.5</v>
      </c>
      <c r="L170" s="204">
        <f t="shared" si="30"/>
        <v>8.2799999999999994</v>
      </c>
      <c r="M170" s="207">
        <f t="shared" si="31"/>
        <v>49.68</v>
      </c>
      <c r="N170" s="204">
        <f t="shared" si="32"/>
        <v>248.4</v>
      </c>
      <c r="O170" s="204">
        <f t="shared" si="33"/>
        <v>1.04</v>
      </c>
      <c r="P170" s="204">
        <f t="shared" si="34"/>
        <v>299.12</v>
      </c>
    </row>
    <row r="171" spans="1:16" ht="38.25">
      <c r="A171" s="129" t="s">
        <v>994</v>
      </c>
      <c r="B171" s="129"/>
      <c r="C171" s="3" t="s">
        <v>967</v>
      </c>
      <c r="D171" s="151" t="s">
        <v>20</v>
      </c>
      <c r="E171" s="133">
        <v>2.82</v>
      </c>
      <c r="F171" s="202">
        <v>4</v>
      </c>
      <c r="G171" s="203">
        <v>6</v>
      </c>
      <c r="H171" s="204">
        <f t="shared" si="28"/>
        <v>24</v>
      </c>
      <c r="I171" s="205">
        <v>130</v>
      </c>
      <c r="J171" s="206">
        <v>0.5</v>
      </c>
      <c r="K171" s="207">
        <f t="shared" si="29"/>
        <v>154.5</v>
      </c>
      <c r="L171" s="204">
        <f t="shared" si="30"/>
        <v>11.28</v>
      </c>
      <c r="M171" s="207">
        <f t="shared" si="31"/>
        <v>67.680000000000007</v>
      </c>
      <c r="N171" s="204">
        <f t="shared" si="32"/>
        <v>366.6</v>
      </c>
      <c r="O171" s="204">
        <f t="shared" si="33"/>
        <v>1.41</v>
      </c>
      <c r="P171" s="204">
        <f t="shared" si="34"/>
        <v>435.69</v>
      </c>
    </row>
    <row r="172" spans="1:16">
      <c r="A172" s="129" t="s">
        <v>995</v>
      </c>
      <c r="B172" s="129"/>
      <c r="C172" s="13" t="s">
        <v>253</v>
      </c>
      <c r="D172" s="15"/>
      <c r="E172" s="139"/>
      <c r="F172" s="202"/>
      <c r="G172" s="203">
        <v>6</v>
      </c>
      <c r="H172" s="204">
        <f t="shared" si="28"/>
        <v>0</v>
      </c>
      <c r="I172" s="205"/>
      <c r="J172" s="206"/>
      <c r="K172" s="207">
        <f t="shared" si="29"/>
        <v>0</v>
      </c>
      <c r="L172" s="204">
        <f t="shared" si="30"/>
        <v>0</v>
      </c>
      <c r="M172" s="207">
        <f t="shared" si="31"/>
        <v>0</v>
      </c>
      <c r="N172" s="204">
        <f t="shared" si="32"/>
        <v>0</v>
      </c>
      <c r="O172" s="204">
        <f t="shared" si="33"/>
        <v>0</v>
      </c>
      <c r="P172" s="204">
        <f t="shared" si="34"/>
        <v>0</v>
      </c>
    </row>
    <row r="173" spans="1:16" ht="38.25">
      <c r="A173" s="129" t="s">
        <v>996</v>
      </c>
      <c r="B173" s="129"/>
      <c r="C173" s="4" t="s">
        <v>254</v>
      </c>
      <c r="D173" s="15" t="s">
        <v>0</v>
      </c>
      <c r="E173" s="139">
        <v>146.4</v>
      </c>
      <c r="F173" s="202">
        <v>0.3</v>
      </c>
      <c r="G173" s="203">
        <v>6</v>
      </c>
      <c r="H173" s="204">
        <f t="shared" si="28"/>
        <v>1.8</v>
      </c>
      <c r="I173" s="205">
        <v>2</v>
      </c>
      <c r="J173" s="206">
        <v>0.1</v>
      </c>
      <c r="K173" s="207">
        <f t="shared" si="29"/>
        <v>3.9</v>
      </c>
      <c r="L173" s="204">
        <f t="shared" si="30"/>
        <v>43.92</v>
      </c>
      <c r="M173" s="207">
        <f t="shared" si="31"/>
        <v>263.52</v>
      </c>
      <c r="N173" s="204">
        <f t="shared" si="32"/>
        <v>292.8</v>
      </c>
      <c r="O173" s="204">
        <f t="shared" si="33"/>
        <v>14.64</v>
      </c>
      <c r="P173" s="204">
        <f t="shared" si="34"/>
        <v>570.96</v>
      </c>
    </row>
    <row r="174" spans="1:16">
      <c r="A174" s="129" t="s">
        <v>997</v>
      </c>
      <c r="B174" s="129"/>
      <c r="C174" s="14" t="s">
        <v>255</v>
      </c>
      <c r="D174" s="15"/>
      <c r="E174" s="139"/>
      <c r="F174" s="202"/>
      <c r="G174" s="203">
        <v>6</v>
      </c>
      <c r="H174" s="204">
        <f t="shared" si="28"/>
        <v>0</v>
      </c>
      <c r="I174" s="205"/>
      <c r="J174" s="206"/>
      <c r="K174" s="207">
        <f t="shared" si="29"/>
        <v>0</v>
      </c>
      <c r="L174" s="204">
        <f t="shared" si="30"/>
        <v>0</v>
      </c>
      <c r="M174" s="207">
        <f t="shared" si="31"/>
        <v>0</v>
      </c>
      <c r="N174" s="204">
        <f t="shared" si="32"/>
        <v>0</v>
      </c>
      <c r="O174" s="204">
        <f t="shared" si="33"/>
        <v>0</v>
      </c>
      <c r="P174" s="204">
        <f t="shared" si="34"/>
        <v>0</v>
      </c>
    </row>
    <row r="175" spans="1:16" ht="25.5">
      <c r="A175" s="129" t="s">
        <v>1020</v>
      </c>
      <c r="B175" s="129"/>
      <c r="C175" s="3" t="s">
        <v>256</v>
      </c>
      <c r="D175" s="134" t="s">
        <v>0</v>
      </c>
      <c r="E175" s="143">
        <v>13.4</v>
      </c>
      <c r="F175" s="202">
        <f>3/5</f>
        <v>0.6</v>
      </c>
      <c r="G175" s="203">
        <v>6</v>
      </c>
      <c r="H175" s="204">
        <f t="shared" si="28"/>
        <v>3.6</v>
      </c>
      <c r="I175" s="205">
        <v>4.5</v>
      </c>
      <c r="J175" s="206">
        <v>0.1</v>
      </c>
      <c r="K175" s="207">
        <f t="shared" si="29"/>
        <v>8.1999999999999993</v>
      </c>
      <c r="L175" s="204">
        <f t="shared" si="30"/>
        <v>8.0399999999999991</v>
      </c>
      <c r="M175" s="207">
        <f t="shared" si="31"/>
        <v>48.24</v>
      </c>
      <c r="N175" s="204">
        <f t="shared" si="32"/>
        <v>60.3</v>
      </c>
      <c r="O175" s="204">
        <f t="shared" si="33"/>
        <v>1.34</v>
      </c>
      <c r="P175" s="204">
        <f t="shared" si="34"/>
        <v>109.88</v>
      </c>
    </row>
    <row r="176" spans="1:16" ht="76.5">
      <c r="A176" s="129" t="s">
        <v>1049</v>
      </c>
      <c r="B176" s="129"/>
      <c r="C176" s="4" t="s">
        <v>257</v>
      </c>
      <c r="D176" s="134" t="s">
        <v>0</v>
      </c>
      <c r="E176" s="139">
        <v>13.8</v>
      </c>
      <c r="F176" s="202">
        <f>4/5</f>
        <v>0.8</v>
      </c>
      <c r="G176" s="203">
        <v>6</v>
      </c>
      <c r="H176" s="204">
        <f t="shared" si="28"/>
        <v>4.8</v>
      </c>
      <c r="I176" s="205">
        <v>13</v>
      </c>
      <c r="J176" s="206">
        <v>0.1</v>
      </c>
      <c r="K176" s="207">
        <f t="shared" si="29"/>
        <v>17.899999999999999</v>
      </c>
      <c r="L176" s="204">
        <f t="shared" si="30"/>
        <v>11.04</v>
      </c>
      <c r="M176" s="207">
        <f t="shared" si="31"/>
        <v>66.239999999999995</v>
      </c>
      <c r="N176" s="204">
        <f t="shared" si="32"/>
        <v>179.4</v>
      </c>
      <c r="O176" s="204">
        <f t="shared" si="33"/>
        <v>1.38</v>
      </c>
      <c r="P176" s="204">
        <f t="shared" si="34"/>
        <v>247.02</v>
      </c>
    </row>
    <row r="177" spans="1:16">
      <c r="A177" s="126" t="s">
        <v>147</v>
      </c>
      <c r="B177" s="126"/>
      <c r="C177" s="152" t="s">
        <v>258</v>
      </c>
      <c r="D177" s="153"/>
      <c r="E177" s="131"/>
      <c r="F177" s="202"/>
      <c r="G177" s="203">
        <v>6</v>
      </c>
      <c r="H177" s="204">
        <f t="shared" si="28"/>
        <v>0</v>
      </c>
      <c r="I177" s="205"/>
      <c r="J177" s="206"/>
      <c r="K177" s="207">
        <f t="shared" si="29"/>
        <v>0</v>
      </c>
      <c r="L177" s="204">
        <f t="shared" si="30"/>
        <v>0</v>
      </c>
      <c r="M177" s="207">
        <f t="shared" si="31"/>
        <v>0</v>
      </c>
      <c r="N177" s="204">
        <f t="shared" si="32"/>
        <v>0</v>
      </c>
      <c r="O177" s="204">
        <f t="shared" si="33"/>
        <v>0</v>
      </c>
      <c r="P177" s="204">
        <f t="shared" si="34"/>
        <v>0</v>
      </c>
    </row>
    <row r="178" spans="1:16">
      <c r="A178" s="129" t="s">
        <v>353</v>
      </c>
      <c r="B178" s="129"/>
      <c r="C178" s="3" t="s">
        <v>179</v>
      </c>
      <c r="D178" s="18" t="s">
        <v>19</v>
      </c>
      <c r="E178" s="135">
        <v>1</v>
      </c>
      <c r="F178" s="202">
        <f>300*1.5/5</f>
        <v>90</v>
      </c>
      <c r="G178" s="203">
        <v>6</v>
      </c>
      <c r="H178" s="204">
        <f t="shared" si="28"/>
        <v>540</v>
      </c>
      <c r="I178" s="205">
        <f>300*0.5</f>
        <v>150</v>
      </c>
      <c r="J178" s="206">
        <f>300*2*1.5+150</f>
        <v>1050</v>
      </c>
      <c r="K178" s="207">
        <f t="shared" si="29"/>
        <v>1740</v>
      </c>
      <c r="L178" s="204">
        <f t="shared" si="30"/>
        <v>90</v>
      </c>
      <c r="M178" s="207">
        <f t="shared" si="31"/>
        <v>540</v>
      </c>
      <c r="N178" s="204">
        <f t="shared" si="32"/>
        <v>150</v>
      </c>
      <c r="O178" s="204">
        <f t="shared" si="33"/>
        <v>1050</v>
      </c>
      <c r="P178" s="204">
        <f t="shared" si="34"/>
        <v>1740</v>
      </c>
    </row>
    <row r="179" spans="1:16">
      <c r="A179" s="129" t="s">
        <v>354</v>
      </c>
      <c r="B179" s="129"/>
      <c r="C179" s="8" t="s">
        <v>30</v>
      </c>
      <c r="D179" s="134" t="s">
        <v>19</v>
      </c>
      <c r="E179" s="131">
        <v>1</v>
      </c>
      <c r="F179" s="202"/>
      <c r="G179" s="203">
        <v>6</v>
      </c>
      <c r="H179" s="204">
        <f t="shared" si="28"/>
        <v>0</v>
      </c>
      <c r="I179" s="205"/>
      <c r="J179" s="206">
        <v>300</v>
      </c>
      <c r="K179" s="207">
        <f t="shared" si="29"/>
        <v>300</v>
      </c>
      <c r="L179" s="204">
        <f t="shared" si="30"/>
        <v>0</v>
      </c>
      <c r="M179" s="207">
        <f t="shared" si="31"/>
        <v>0</v>
      </c>
      <c r="N179" s="204">
        <f t="shared" si="32"/>
        <v>0</v>
      </c>
      <c r="O179" s="204">
        <f t="shared" si="33"/>
        <v>300</v>
      </c>
      <c r="P179" s="204">
        <f t="shared" si="34"/>
        <v>300</v>
      </c>
    </row>
    <row r="180" spans="1:16">
      <c r="A180" s="129" t="s">
        <v>355</v>
      </c>
      <c r="B180" s="129"/>
      <c r="C180" s="7" t="s">
        <v>259</v>
      </c>
      <c r="D180" s="18"/>
      <c r="E180" s="135"/>
      <c r="F180" s="202"/>
      <c r="G180" s="203">
        <v>6</v>
      </c>
      <c r="H180" s="204">
        <f t="shared" si="28"/>
        <v>0</v>
      </c>
      <c r="I180" s="205"/>
      <c r="J180" s="206"/>
      <c r="K180" s="207">
        <f t="shared" si="29"/>
        <v>0</v>
      </c>
      <c r="L180" s="204">
        <f t="shared" si="30"/>
        <v>0</v>
      </c>
      <c r="M180" s="207">
        <f t="shared" si="31"/>
        <v>0</v>
      </c>
      <c r="N180" s="204">
        <f t="shared" si="32"/>
        <v>0</v>
      </c>
      <c r="O180" s="204">
        <f t="shared" si="33"/>
        <v>0</v>
      </c>
      <c r="P180" s="204">
        <f t="shared" si="34"/>
        <v>0</v>
      </c>
    </row>
    <row r="181" spans="1:16" ht="25.5">
      <c r="A181" s="129" t="s">
        <v>356</v>
      </c>
      <c r="B181" s="129"/>
      <c r="C181" s="3" t="s">
        <v>260</v>
      </c>
      <c r="D181" s="134" t="s">
        <v>0</v>
      </c>
      <c r="E181" s="135">
        <v>43</v>
      </c>
      <c r="F181" s="202">
        <v>0.2</v>
      </c>
      <c r="G181" s="203">
        <v>6</v>
      </c>
      <c r="H181" s="204">
        <f t="shared" si="28"/>
        <v>1.2</v>
      </c>
      <c r="I181" s="205">
        <v>1.6</v>
      </c>
      <c r="J181" s="206">
        <v>0.1</v>
      </c>
      <c r="K181" s="207">
        <f t="shared" si="29"/>
        <v>2.9</v>
      </c>
      <c r="L181" s="204">
        <f t="shared" si="30"/>
        <v>8.6</v>
      </c>
      <c r="M181" s="207">
        <f t="shared" si="31"/>
        <v>51.6</v>
      </c>
      <c r="N181" s="204">
        <f t="shared" si="32"/>
        <v>68.8</v>
      </c>
      <c r="O181" s="204">
        <f t="shared" si="33"/>
        <v>4.3</v>
      </c>
      <c r="P181" s="204">
        <f t="shared" si="34"/>
        <v>124.7</v>
      </c>
    </row>
    <row r="182" spans="1:16" ht="63.75">
      <c r="A182" s="129" t="s">
        <v>357</v>
      </c>
      <c r="B182" s="129"/>
      <c r="C182" s="3" t="s">
        <v>261</v>
      </c>
      <c r="D182" s="134" t="s">
        <v>20</v>
      </c>
      <c r="E182" s="230">
        <v>123</v>
      </c>
      <c r="F182" s="202">
        <v>1.2</v>
      </c>
      <c r="G182" s="203">
        <v>6</v>
      </c>
      <c r="H182" s="204">
        <f t="shared" si="28"/>
        <v>7.2</v>
      </c>
      <c r="I182" s="205">
        <v>16.34</v>
      </c>
      <c r="J182" s="206">
        <v>0.3</v>
      </c>
      <c r="K182" s="207">
        <f t="shared" si="29"/>
        <v>23.84</v>
      </c>
      <c r="L182" s="204">
        <f t="shared" si="30"/>
        <v>147.6</v>
      </c>
      <c r="M182" s="207">
        <f t="shared" si="31"/>
        <v>885.6</v>
      </c>
      <c r="N182" s="204">
        <f t="shared" si="32"/>
        <v>2009.82</v>
      </c>
      <c r="O182" s="204">
        <f t="shared" si="33"/>
        <v>36.9</v>
      </c>
      <c r="P182" s="204">
        <f t="shared" si="34"/>
        <v>2932.32</v>
      </c>
    </row>
    <row r="183" spans="1:16" ht="63.75">
      <c r="A183" s="129" t="s">
        <v>358</v>
      </c>
      <c r="B183" s="129"/>
      <c r="C183" s="3" t="s">
        <v>262</v>
      </c>
      <c r="D183" s="134" t="s">
        <v>20</v>
      </c>
      <c r="E183" s="135">
        <v>17</v>
      </c>
      <c r="F183" s="202">
        <v>3</v>
      </c>
      <c r="G183" s="203">
        <v>6</v>
      </c>
      <c r="H183" s="204">
        <f t="shared" si="28"/>
        <v>18</v>
      </c>
      <c r="I183" s="205">
        <v>8</v>
      </c>
      <c r="J183" s="206">
        <v>0.5</v>
      </c>
      <c r="K183" s="207">
        <f t="shared" si="29"/>
        <v>26.5</v>
      </c>
      <c r="L183" s="204">
        <f t="shared" si="30"/>
        <v>51</v>
      </c>
      <c r="M183" s="207">
        <f t="shared" si="31"/>
        <v>306</v>
      </c>
      <c r="N183" s="204">
        <f t="shared" si="32"/>
        <v>136</v>
      </c>
      <c r="O183" s="204">
        <f t="shared" si="33"/>
        <v>8.5</v>
      </c>
      <c r="P183" s="204">
        <f t="shared" si="34"/>
        <v>450.5</v>
      </c>
    </row>
    <row r="184" spans="1:16" ht="25.5">
      <c r="A184" s="129" t="s">
        <v>359</v>
      </c>
      <c r="B184" s="129"/>
      <c r="C184" s="3" t="s">
        <v>263</v>
      </c>
      <c r="D184" s="134" t="s">
        <v>20</v>
      </c>
      <c r="E184" s="135">
        <v>106</v>
      </c>
      <c r="F184" s="202">
        <v>1.2</v>
      </c>
      <c r="G184" s="203">
        <v>6</v>
      </c>
      <c r="H184" s="204">
        <f t="shared" si="28"/>
        <v>7.2</v>
      </c>
      <c r="I184" s="205">
        <v>2</v>
      </c>
      <c r="J184" s="206">
        <v>0.3</v>
      </c>
      <c r="K184" s="207">
        <f t="shared" si="29"/>
        <v>9.5</v>
      </c>
      <c r="L184" s="204">
        <f t="shared" si="30"/>
        <v>127.2</v>
      </c>
      <c r="M184" s="207">
        <f t="shared" si="31"/>
        <v>763.2</v>
      </c>
      <c r="N184" s="204">
        <f t="shared" si="32"/>
        <v>212</v>
      </c>
      <c r="O184" s="204">
        <f t="shared" si="33"/>
        <v>31.8</v>
      </c>
      <c r="P184" s="204">
        <f t="shared" si="34"/>
        <v>1007</v>
      </c>
    </row>
    <row r="185" spans="1:16" ht="25.5">
      <c r="A185" s="129" t="s">
        <v>360</v>
      </c>
      <c r="B185" s="129"/>
      <c r="C185" s="3" t="s">
        <v>264</v>
      </c>
      <c r="D185" s="134" t="s">
        <v>20</v>
      </c>
      <c r="E185" s="135">
        <v>17</v>
      </c>
      <c r="F185" s="202">
        <v>2</v>
      </c>
      <c r="G185" s="203">
        <v>6</v>
      </c>
      <c r="H185" s="204">
        <f t="shared" si="28"/>
        <v>12</v>
      </c>
      <c r="I185" s="205">
        <v>2.5</v>
      </c>
      <c r="J185" s="206">
        <v>0.5</v>
      </c>
      <c r="K185" s="207">
        <f t="shared" si="29"/>
        <v>15</v>
      </c>
      <c r="L185" s="204">
        <f t="shared" si="30"/>
        <v>34</v>
      </c>
      <c r="M185" s="207">
        <f t="shared" si="31"/>
        <v>204</v>
      </c>
      <c r="N185" s="204">
        <f t="shared" si="32"/>
        <v>42.5</v>
      </c>
      <c r="O185" s="204">
        <f t="shared" si="33"/>
        <v>8.5</v>
      </c>
      <c r="P185" s="204">
        <f t="shared" si="34"/>
        <v>255</v>
      </c>
    </row>
    <row r="186" spans="1:16" ht="25.5">
      <c r="A186" s="129" t="s">
        <v>361</v>
      </c>
      <c r="B186" s="129"/>
      <c r="C186" s="3" t="s">
        <v>265</v>
      </c>
      <c r="D186" s="134" t="s">
        <v>20</v>
      </c>
      <c r="E186" s="135">
        <v>70</v>
      </c>
      <c r="F186" s="202">
        <v>0.1</v>
      </c>
      <c r="G186" s="203">
        <v>6</v>
      </c>
      <c r="H186" s="204">
        <f t="shared" si="28"/>
        <v>0.6</v>
      </c>
      <c r="I186" s="205">
        <f>2.5*0.3</f>
        <v>0.75</v>
      </c>
      <c r="J186" s="206">
        <v>0.1</v>
      </c>
      <c r="K186" s="207">
        <f t="shared" si="29"/>
        <v>1.45</v>
      </c>
      <c r="L186" s="204">
        <f t="shared" si="30"/>
        <v>7</v>
      </c>
      <c r="M186" s="207">
        <f t="shared" si="31"/>
        <v>42</v>
      </c>
      <c r="N186" s="204">
        <f t="shared" si="32"/>
        <v>52.5</v>
      </c>
      <c r="O186" s="204">
        <f t="shared" si="33"/>
        <v>7</v>
      </c>
      <c r="P186" s="204">
        <f t="shared" si="34"/>
        <v>101.5</v>
      </c>
    </row>
    <row r="187" spans="1:16" ht="38.25">
      <c r="A187" s="129" t="s">
        <v>362</v>
      </c>
      <c r="B187" s="129"/>
      <c r="C187" s="4" t="s">
        <v>266</v>
      </c>
      <c r="D187" s="138" t="s">
        <v>20</v>
      </c>
      <c r="E187" s="139">
        <v>17</v>
      </c>
      <c r="F187" s="202">
        <v>2</v>
      </c>
      <c r="G187" s="203">
        <v>6</v>
      </c>
      <c r="H187" s="204">
        <f t="shared" si="28"/>
        <v>12</v>
      </c>
      <c r="I187" s="205">
        <v>6</v>
      </c>
      <c r="J187" s="206">
        <v>0.5</v>
      </c>
      <c r="K187" s="207">
        <f t="shared" si="29"/>
        <v>18.5</v>
      </c>
      <c r="L187" s="204">
        <f t="shared" si="30"/>
        <v>34</v>
      </c>
      <c r="M187" s="207">
        <f t="shared" si="31"/>
        <v>204</v>
      </c>
      <c r="N187" s="204">
        <f t="shared" si="32"/>
        <v>102</v>
      </c>
      <c r="O187" s="204">
        <f t="shared" si="33"/>
        <v>8.5</v>
      </c>
      <c r="P187" s="204">
        <f t="shared" si="34"/>
        <v>314.5</v>
      </c>
    </row>
    <row r="188" spans="1:16" ht="38.25">
      <c r="A188" s="129" t="s">
        <v>363</v>
      </c>
      <c r="B188" s="129"/>
      <c r="C188" s="4" t="s">
        <v>267</v>
      </c>
      <c r="D188" s="138" t="s">
        <v>20</v>
      </c>
      <c r="E188" s="139">
        <v>53</v>
      </c>
      <c r="F188" s="202">
        <v>1.2</v>
      </c>
      <c r="G188" s="203">
        <v>6</v>
      </c>
      <c r="H188" s="204">
        <f t="shared" si="28"/>
        <v>7.2</v>
      </c>
      <c r="I188" s="205">
        <v>6</v>
      </c>
      <c r="J188" s="206">
        <v>0.3</v>
      </c>
      <c r="K188" s="207">
        <f t="shared" si="29"/>
        <v>13.5</v>
      </c>
      <c r="L188" s="204">
        <f t="shared" si="30"/>
        <v>63.6</v>
      </c>
      <c r="M188" s="207">
        <f t="shared" si="31"/>
        <v>381.6</v>
      </c>
      <c r="N188" s="204">
        <f t="shared" si="32"/>
        <v>318</v>
      </c>
      <c r="O188" s="204">
        <f t="shared" si="33"/>
        <v>15.9</v>
      </c>
      <c r="P188" s="204">
        <f t="shared" si="34"/>
        <v>715.5</v>
      </c>
    </row>
    <row r="189" spans="1:16" ht="25.5">
      <c r="A189" s="129" t="s">
        <v>364</v>
      </c>
      <c r="B189" s="129"/>
      <c r="C189" s="3" t="s">
        <v>268</v>
      </c>
      <c r="D189" s="134" t="s">
        <v>20</v>
      </c>
      <c r="E189" s="143">
        <v>70</v>
      </c>
      <c r="F189" s="202">
        <v>0.1</v>
      </c>
      <c r="G189" s="203">
        <v>6</v>
      </c>
      <c r="H189" s="204">
        <f t="shared" ref="H189" si="36">ROUND(G189*F189,2)</f>
        <v>0.6</v>
      </c>
      <c r="I189" s="205">
        <f>2.5*0.3</f>
        <v>0.75</v>
      </c>
      <c r="J189" s="206">
        <v>0.1</v>
      </c>
      <c r="K189" s="207">
        <f t="shared" si="29"/>
        <v>1.45</v>
      </c>
      <c r="L189" s="204">
        <f t="shared" si="30"/>
        <v>7</v>
      </c>
      <c r="M189" s="207">
        <f t="shared" si="31"/>
        <v>42</v>
      </c>
      <c r="N189" s="204">
        <f t="shared" si="32"/>
        <v>52.5</v>
      </c>
      <c r="O189" s="204">
        <f t="shared" si="33"/>
        <v>7</v>
      </c>
      <c r="P189" s="204">
        <f t="shared" si="34"/>
        <v>101.5</v>
      </c>
    </row>
    <row r="190" spans="1:16" ht="25.5">
      <c r="A190" s="129" t="s">
        <v>365</v>
      </c>
      <c r="B190" s="129"/>
      <c r="C190" s="3" t="s">
        <v>269</v>
      </c>
      <c r="D190" s="134" t="s">
        <v>20</v>
      </c>
      <c r="E190" s="143">
        <v>70</v>
      </c>
      <c r="F190" s="202">
        <f>3/5</f>
        <v>0.6</v>
      </c>
      <c r="G190" s="203">
        <v>6</v>
      </c>
      <c r="H190" s="204">
        <f t="shared" si="28"/>
        <v>3.6</v>
      </c>
      <c r="I190" s="205">
        <f>6.5*0.4</f>
        <v>2.6</v>
      </c>
      <c r="J190" s="206">
        <v>0.2</v>
      </c>
      <c r="K190" s="207">
        <f t="shared" si="29"/>
        <v>6.4</v>
      </c>
      <c r="L190" s="204">
        <f t="shared" si="30"/>
        <v>42</v>
      </c>
      <c r="M190" s="207">
        <f t="shared" si="31"/>
        <v>252</v>
      </c>
      <c r="N190" s="204">
        <f t="shared" si="32"/>
        <v>182</v>
      </c>
      <c r="O190" s="204">
        <f t="shared" si="33"/>
        <v>14</v>
      </c>
      <c r="P190" s="204">
        <f t="shared" si="34"/>
        <v>448</v>
      </c>
    </row>
    <row r="191" spans="1:16" ht="15">
      <c r="A191" s="129" t="s">
        <v>366</v>
      </c>
      <c r="B191" s="129"/>
      <c r="C191" s="13" t="s">
        <v>270</v>
      </c>
      <c r="D191" s="138"/>
      <c r="E191" s="139"/>
      <c r="F191" s="202"/>
      <c r="G191" s="203">
        <v>6</v>
      </c>
      <c r="H191" s="204">
        <f t="shared" si="28"/>
        <v>0</v>
      </c>
      <c r="I191" s="205"/>
      <c r="J191" s="206"/>
      <c r="K191" s="207">
        <f t="shared" si="29"/>
        <v>0</v>
      </c>
      <c r="L191" s="204">
        <f t="shared" si="30"/>
        <v>0</v>
      </c>
      <c r="M191" s="207">
        <f t="shared" si="31"/>
        <v>0</v>
      </c>
      <c r="N191" s="204">
        <f t="shared" si="32"/>
        <v>0</v>
      </c>
      <c r="O191" s="204">
        <f t="shared" si="33"/>
        <v>0</v>
      </c>
      <c r="P191" s="204">
        <f t="shared" si="34"/>
        <v>0</v>
      </c>
    </row>
    <row r="192" spans="1:16" ht="51">
      <c r="A192" s="129" t="s">
        <v>367</v>
      </c>
      <c r="B192" s="129"/>
      <c r="C192" s="3" t="s">
        <v>271</v>
      </c>
      <c r="D192" s="138" t="s">
        <v>20</v>
      </c>
      <c r="E192" s="139">
        <v>53.6</v>
      </c>
      <c r="F192" s="202">
        <v>4</v>
      </c>
      <c r="G192" s="203">
        <v>6</v>
      </c>
      <c r="H192" s="204">
        <f t="shared" si="28"/>
        <v>24</v>
      </c>
      <c r="I192" s="205">
        <v>22</v>
      </c>
      <c r="J192" s="206">
        <v>1</v>
      </c>
      <c r="K192" s="207">
        <f t="shared" si="29"/>
        <v>47</v>
      </c>
      <c r="L192" s="204">
        <f t="shared" si="30"/>
        <v>214.4</v>
      </c>
      <c r="M192" s="207">
        <f t="shared" si="31"/>
        <v>1286.4000000000001</v>
      </c>
      <c r="N192" s="204">
        <f t="shared" si="32"/>
        <v>1179.2</v>
      </c>
      <c r="O192" s="204">
        <f t="shared" si="33"/>
        <v>53.6</v>
      </c>
      <c r="P192" s="204">
        <f t="shared" si="34"/>
        <v>2519.1999999999998</v>
      </c>
    </row>
    <row r="193" spans="1:16" ht="25.5">
      <c r="A193" s="129" t="s">
        <v>368</v>
      </c>
      <c r="B193" s="129"/>
      <c r="C193" s="3" t="s">
        <v>272</v>
      </c>
      <c r="D193" s="138" t="s">
        <v>20</v>
      </c>
      <c r="E193" s="139">
        <v>53.6</v>
      </c>
      <c r="F193" s="202">
        <v>0.1</v>
      </c>
      <c r="G193" s="203">
        <v>6</v>
      </c>
      <c r="H193" s="204">
        <f t="shared" si="28"/>
        <v>0.6</v>
      </c>
      <c r="I193" s="205">
        <v>0.55000000000000004</v>
      </c>
      <c r="J193" s="206">
        <v>0.1</v>
      </c>
      <c r="K193" s="207">
        <f t="shared" si="29"/>
        <v>1.25</v>
      </c>
      <c r="L193" s="204">
        <f t="shared" si="30"/>
        <v>5.36</v>
      </c>
      <c r="M193" s="207">
        <f t="shared" si="31"/>
        <v>32.159999999999997</v>
      </c>
      <c r="N193" s="204">
        <f t="shared" si="32"/>
        <v>29.48</v>
      </c>
      <c r="O193" s="204">
        <f t="shared" si="33"/>
        <v>5.36</v>
      </c>
      <c r="P193" s="204">
        <f t="shared" si="34"/>
        <v>67</v>
      </c>
    </row>
    <row r="194" spans="1:16" ht="25.5">
      <c r="A194" s="129" t="s">
        <v>369</v>
      </c>
      <c r="B194" s="129"/>
      <c r="C194" s="3" t="s">
        <v>273</v>
      </c>
      <c r="D194" s="138" t="s">
        <v>20</v>
      </c>
      <c r="E194" s="139">
        <v>53.6</v>
      </c>
      <c r="F194" s="202">
        <v>0.5</v>
      </c>
      <c r="G194" s="203">
        <v>6</v>
      </c>
      <c r="H194" s="204">
        <f t="shared" si="28"/>
        <v>3</v>
      </c>
      <c r="I194" s="205">
        <f>6*0.4</f>
        <v>2.4</v>
      </c>
      <c r="J194" s="206">
        <v>0.2</v>
      </c>
      <c r="K194" s="207">
        <f t="shared" si="29"/>
        <v>5.6</v>
      </c>
      <c r="L194" s="204">
        <f t="shared" si="30"/>
        <v>26.8</v>
      </c>
      <c r="M194" s="207">
        <f t="shared" si="31"/>
        <v>160.80000000000001</v>
      </c>
      <c r="N194" s="204">
        <f t="shared" si="32"/>
        <v>128.63999999999999</v>
      </c>
      <c r="O194" s="204">
        <f t="shared" si="33"/>
        <v>10.72</v>
      </c>
      <c r="P194" s="204">
        <f t="shared" si="34"/>
        <v>300.16000000000003</v>
      </c>
    </row>
    <row r="195" spans="1:16" ht="25.5">
      <c r="A195" s="129" t="s">
        <v>370</v>
      </c>
      <c r="B195" s="129"/>
      <c r="C195" s="3" t="s">
        <v>274</v>
      </c>
      <c r="D195" s="134" t="s">
        <v>0</v>
      </c>
      <c r="E195" s="144">
        <v>88</v>
      </c>
      <c r="F195" s="202">
        <f>3/5</f>
        <v>0.6</v>
      </c>
      <c r="G195" s="203">
        <v>6</v>
      </c>
      <c r="H195" s="204">
        <f t="shared" si="28"/>
        <v>3.6</v>
      </c>
      <c r="I195" s="205">
        <v>4.8</v>
      </c>
      <c r="J195" s="206">
        <v>0.05</v>
      </c>
      <c r="K195" s="207">
        <f t="shared" si="29"/>
        <v>8.4499999999999993</v>
      </c>
      <c r="L195" s="204">
        <f t="shared" si="30"/>
        <v>52.8</v>
      </c>
      <c r="M195" s="207">
        <f t="shared" si="31"/>
        <v>316.8</v>
      </c>
      <c r="N195" s="204">
        <f t="shared" si="32"/>
        <v>422.4</v>
      </c>
      <c r="O195" s="204">
        <f t="shared" si="33"/>
        <v>4.4000000000000004</v>
      </c>
      <c r="P195" s="204">
        <f t="shared" si="34"/>
        <v>743.6</v>
      </c>
    </row>
    <row r="196" spans="1:16">
      <c r="A196" s="129" t="s">
        <v>371</v>
      </c>
      <c r="B196" s="129"/>
      <c r="C196" s="7" t="s">
        <v>275</v>
      </c>
      <c r="D196" s="134"/>
      <c r="E196" s="135"/>
      <c r="F196" s="202"/>
      <c r="G196" s="203">
        <v>6</v>
      </c>
      <c r="H196" s="204">
        <f t="shared" si="28"/>
        <v>0</v>
      </c>
      <c r="I196" s="205"/>
      <c r="J196" s="206"/>
      <c r="K196" s="207">
        <f t="shared" si="29"/>
        <v>0</v>
      </c>
      <c r="L196" s="204">
        <f t="shared" si="30"/>
        <v>0</v>
      </c>
      <c r="M196" s="207">
        <f t="shared" si="31"/>
        <v>0</v>
      </c>
      <c r="N196" s="204">
        <f t="shared" si="32"/>
        <v>0</v>
      </c>
      <c r="O196" s="204">
        <f t="shared" si="33"/>
        <v>0</v>
      </c>
      <c r="P196" s="204">
        <f t="shared" si="34"/>
        <v>0</v>
      </c>
    </row>
    <row r="197" spans="1:16" ht="25.5">
      <c r="A197" s="129" t="s">
        <v>372</v>
      </c>
      <c r="B197" s="129"/>
      <c r="C197" s="3" t="s">
        <v>276</v>
      </c>
      <c r="D197" s="134" t="s">
        <v>20</v>
      </c>
      <c r="E197" s="135">
        <v>8.18</v>
      </c>
      <c r="F197" s="202">
        <v>2</v>
      </c>
      <c r="G197" s="203">
        <v>6</v>
      </c>
      <c r="H197" s="204">
        <f t="shared" ref="H197" si="37">ROUND(G197*F197,2)</f>
        <v>12</v>
      </c>
      <c r="I197" s="205">
        <v>6</v>
      </c>
      <c r="J197" s="206">
        <v>0.5</v>
      </c>
      <c r="K197" s="207">
        <f t="shared" si="29"/>
        <v>18.5</v>
      </c>
      <c r="L197" s="204">
        <f t="shared" si="30"/>
        <v>16.36</v>
      </c>
      <c r="M197" s="207">
        <f t="shared" si="31"/>
        <v>98.16</v>
      </c>
      <c r="N197" s="204">
        <f t="shared" si="32"/>
        <v>49.08</v>
      </c>
      <c r="O197" s="204">
        <f t="shared" si="33"/>
        <v>4.09</v>
      </c>
      <c r="P197" s="204">
        <f t="shared" si="34"/>
        <v>151.33000000000001</v>
      </c>
    </row>
    <row r="198" spans="1:16" ht="38.25">
      <c r="A198" s="129" t="s">
        <v>373</v>
      </c>
      <c r="B198" s="129"/>
      <c r="C198" s="4" t="s">
        <v>277</v>
      </c>
      <c r="D198" s="138" t="s">
        <v>20</v>
      </c>
      <c r="E198" s="139">
        <v>8.18</v>
      </c>
      <c r="F198" s="202">
        <v>2</v>
      </c>
      <c r="G198" s="203">
        <v>6</v>
      </c>
      <c r="H198" s="204">
        <f t="shared" si="28"/>
        <v>12</v>
      </c>
      <c r="I198" s="205">
        <v>7</v>
      </c>
      <c r="J198" s="206">
        <v>0.5</v>
      </c>
      <c r="K198" s="207">
        <f t="shared" si="29"/>
        <v>19.5</v>
      </c>
      <c r="L198" s="204">
        <f t="shared" si="30"/>
        <v>16.36</v>
      </c>
      <c r="M198" s="207">
        <f t="shared" si="31"/>
        <v>98.16</v>
      </c>
      <c r="N198" s="204">
        <f t="shared" si="32"/>
        <v>57.26</v>
      </c>
      <c r="O198" s="204">
        <f t="shared" si="33"/>
        <v>4.09</v>
      </c>
      <c r="P198" s="204">
        <f t="shared" si="34"/>
        <v>159.51</v>
      </c>
    </row>
    <row r="199" spans="1:16" ht="25.5">
      <c r="A199" s="129" t="s">
        <v>374</v>
      </c>
      <c r="B199" s="129"/>
      <c r="C199" s="3" t="s">
        <v>278</v>
      </c>
      <c r="D199" s="134" t="s">
        <v>20</v>
      </c>
      <c r="E199" s="143">
        <v>8.18</v>
      </c>
      <c r="F199" s="202">
        <v>0.2</v>
      </c>
      <c r="G199" s="203">
        <v>6</v>
      </c>
      <c r="H199" s="204">
        <f t="shared" si="28"/>
        <v>1.2</v>
      </c>
      <c r="I199" s="205">
        <v>0.75</v>
      </c>
      <c r="J199" s="206">
        <v>0.1</v>
      </c>
      <c r="K199" s="207">
        <f t="shared" si="29"/>
        <v>2.0499999999999998</v>
      </c>
      <c r="L199" s="204">
        <f t="shared" si="30"/>
        <v>1.64</v>
      </c>
      <c r="M199" s="207">
        <f t="shared" si="31"/>
        <v>9.82</v>
      </c>
      <c r="N199" s="204">
        <f t="shared" si="32"/>
        <v>6.14</v>
      </c>
      <c r="O199" s="204">
        <f t="shared" si="33"/>
        <v>0.82</v>
      </c>
      <c r="P199" s="204">
        <f t="shared" si="34"/>
        <v>16.78</v>
      </c>
    </row>
    <row r="200" spans="1:16" ht="25.5">
      <c r="A200" s="129" t="s">
        <v>375</v>
      </c>
      <c r="B200" s="129"/>
      <c r="C200" s="3" t="s">
        <v>279</v>
      </c>
      <c r="D200" s="134" t="s">
        <v>20</v>
      </c>
      <c r="E200" s="143">
        <v>8.18</v>
      </c>
      <c r="F200" s="202">
        <f>3/5</f>
        <v>0.6</v>
      </c>
      <c r="G200" s="203">
        <v>6</v>
      </c>
      <c r="H200" s="204">
        <f t="shared" si="28"/>
        <v>3.6</v>
      </c>
      <c r="I200" s="205">
        <v>2.6</v>
      </c>
      <c r="J200" s="206">
        <v>0.2</v>
      </c>
      <c r="K200" s="207">
        <f t="shared" si="29"/>
        <v>6.4</v>
      </c>
      <c r="L200" s="204">
        <f t="shared" si="30"/>
        <v>4.91</v>
      </c>
      <c r="M200" s="207">
        <f t="shared" si="31"/>
        <v>29.45</v>
      </c>
      <c r="N200" s="204">
        <f t="shared" si="32"/>
        <v>21.27</v>
      </c>
      <c r="O200" s="204">
        <f t="shared" si="33"/>
        <v>1.64</v>
      </c>
      <c r="P200" s="204">
        <f t="shared" si="34"/>
        <v>52.36</v>
      </c>
    </row>
    <row r="201" spans="1:16">
      <c r="A201" s="129" t="s">
        <v>376</v>
      </c>
      <c r="B201" s="129"/>
      <c r="C201" s="7" t="s">
        <v>280</v>
      </c>
      <c r="D201" s="134"/>
      <c r="E201" s="135"/>
      <c r="F201" s="202"/>
      <c r="G201" s="203">
        <v>6</v>
      </c>
      <c r="H201" s="204">
        <f t="shared" si="28"/>
        <v>0</v>
      </c>
      <c r="I201" s="205"/>
      <c r="J201" s="206"/>
      <c r="K201" s="207">
        <f t="shared" si="29"/>
        <v>0</v>
      </c>
      <c r="L201" s="204">
        <f t="shared" si="30"/>
        <v>0</v>
      </c>
      <c r="M201" s="207">
        <f t="shared" si="31"/>
        <v>0</v>
      </c>
      <c r="N201" s="204">
        <f t="shared" si="32"/>
        <v>0</v>
      </c>
      <c r="O201" s="204">
        <f t="shared" si="33"/>
        <v>0</v>
      </c>
      <c r="P201" s="204">
        <f t="shared" si="34"/>
        <v>0</v>
      </c>
    </row>
    <row r="202" spans="1:16" ht="51">
      <c r="A202" s="129" t="s">
        <v>377</v>
      </c>
      <c r="B202" s="129"/>
      <c r="C202" s="4" t="s">
        <v>281</v>
      </c>
      <c r="D202" s="138" t="s">
        <v>20</v>
      </c>
      <c r="E202" s="139">
        <v>11</v>
      </c>
      <c r="F202" s="202">
        <v>2</v>
      </c>
      <c r="G202" s="203">
        <v>6</v>
      </c>
      <c r="H202" s="204">
        <f t="shared" ref="H202" si="38">ROUND(G202*F202,2)</f>
        <v>12</v>
      </c>
      <c r="I202" s="205">
        <v>7</v>
      </c>
      <c r="J202" s="206">
        <v>0.5</v>
      </c>
      <c r="K202" s="207">
        <f t="shared" si="29"/>
        <v>19.5</v>
      </c>
      <c r="L202" s="204">
        <f t="shared" si="30"/>
        <v>22</v>
      </c>
      <c r="M202" s="207">
        <f t="shared" si="31"/>
        <v>132</v>
      </c>
      <c r="N202" s="204">
        <f t="shared" si="32"/>
        <v>77</v>
      </c>
      <c r="O202" s="204">
        <f t="shared" si="33"/>
        <v>5.5</v>
      </c>
      <c r="P202" s="204">
        <f t="shared" si="34"/>
        <v>214.5</v>
      </c>
    </row>
    <row r="203" spans="1:16" ht="25.5">
      <c r="A203" s="129" t="s">
        <v>378</v>
      </c>
      <c r="B203" s="129"/>
      <c r="C203" s="3" t="s">
        <v>282</v>
      </c>
      <c r="D203" s="134" t="s">
        <v>20</v>
      </c>
      <c r="E203" s="143">
        <v>11</v>
      </c>
      <c r="F203" s="202">
        <v>0.2</v>
      </c>
      <c r="G203" s="203">
        <v>6</v>
      </c>
      <c r="H203" s="204">
        <f t="shared" ref="H203:H204" si="39">ROUND(G203*F203,2)</f>
        <v>1.2</v>
      </c>
      <c r="I203" s="205">
        <v>0.75</v>
      </c>
      <c r="J203" s="206">
        <v>0.1</v>
      </c>
      <c r="K203" s="207">
        <f t="shared" si="29"/>
        <v>2.0499999999999998</v>
      </c>
      <c r="L203" s="204">
        <f t="shared" si="30"/>
        <v>2.2000000000000002</v>
      </c>
      <c r="M203" s="207">
        <f t="shared" si="31"/>
        <v>13.2</v>
      </c>
      <c r="N203" s="204">
        <f t="shared" si="32"/>
        <v>8.25</v>
      </c>
      <c r="O203" s="204">
        <f t="shared" si="33"/>
        <v>1.1000000000000001</v>
      </c>
      <c r="P203" s="204">
        <f t="shared" si="34"/>
        <v>22.55</v>
      </c>
    </row>
    <row r="204" spans="1:16" ht="25.5">
      <c r="A204" s="129" t="s">
        <v>379</v>
      </c>
      <c r="B204" s="129"/>
      <c r="C204" s="3" t="s">
        <v>283</v>
      </c>
      <c r="D204" s="134" t="s">
        <v>20</v>
      </c>
      <c r="E204" s="143">
        <v>11</v>
      </c>
      <c r="F204" s="202">
        <f>3/5</f>
        <v>0.6</v>
      </c>
      <c r="G204" s="203">
        <v>6</v>
      </c>
      <c r="H204" s="204">
        <f t="shared" si="39"/>
        <v>3.6</v>
      </c>
      <c r="I204" s="205">
        <v>2.6</v>
      </c>
      <c r="J204" s="206">
        <v>0.2</v>
      </c>
      <c r="K204" s="207">
        <f t="shared" si="29"/>
        <v>6.4</v>
      </c>
      <c r="L204" s="204">
        <f t="shared" si="30"/>
        <v>6.6</v>
      </c>
      <c r="M204" s="207">
        <f t="shared" si="31"/>
        <v>39.6</v>
      </c>
      <c r="N204" s="204">
        <f t="shared" si="32"/>
        <v>28.6</v>
      </c>
      <c r="O204" s="204">
        <f t="shared" si="33"/>
        <v>2.2000000000000002</v>
      </c>
      <c r="P204" s="204">
        <f t="shared" si="34"/>
        <v>70.400000000000006</v>
      </c>
    </row>
    <row r="205" spans="1:16" ht="25.5">
      <c r="A205" s="129" t="s">
        <v>380</v>
      </c>
      <c r="B205" s="129"/>
      <c r="C205" s="7" t="s">
        <v>284</v>
      </c>
      <c r="D205" s="134"/>
      <c r="E205" s="135"/>
      <c r="F205" s="202"/>
      <c r="G205" s="203">
        <v>6</v>
      </c>
      <c r="H205" s="204">
        <f t="shared" si="28"/>
        <v>0</v>
      </c>
      <c r="I205" s="205"/>
      <c r="J205" s="206"/>
      <c r="K205" s="207">
        <f t="shared" si="29"/>
        <v>0</v>
      </c>
      <c r="L205" s="204">
        <f t="shared" si="30"/>
        <v>0</v>
      </c>
      <c r="M205" s="207">
        <f t="shared" si="31"/>
        <v>0</v>
      </c>
      <c r="N205" s="204">
        <f t="shared" si="32"/>
        <v>0</v>
      </c>
      <c r="O205" s="204">
        <f t="shared" si="33"/>
        <v>0</v>
      </c>
      <c r="P205" s="204">
        <f t="shared" si="34"/>
        <v>0</v>
      </c>
    </row>
    <row r="206" spans="1:16" ht="38.25">
      <c r="A206" s="129" t="s">
        <v>381</v>
      </c>
      <c r="B206" s="129"/>
      <c r="C206" s="8" t="s">
        <v>285</v>
      </c>
      <c r="D206" s="138" t="s">
        <v>20</v>
      </c>
      <c r="E206" s="133">
        <v>6.5</v>
      </c>
      <c r="F206" s="202">
        <v>2</v>
      </c>
      <c r="G206" s="203">
        <v>6</v>
      </c>
      <c r="H206" s="204">
        <f t="shared" si="28"/>
        <v>12</v>
      </c>
      <c r="I206" s="205">
        <v>9</v>
      </c>
      <c r="J206" s="206">
        <v>0.5</v>
      </c>
      <c r="K206" s="207">
        <f t="shared" si="29"/>
        <v>21.5</v>
      </c>
      <c r="L206" s="204">
        <f t="shared" si="30"/>
        <v>13</v>
      </c>
      <c r="M206" s="207">
        <f t="shared" si="31"/>
        <v>78</v>
      </c>
      <c r="N206" s="204">
        <f t="shared" si="32"/>
        <v>58.5</v>
      </c>
      <c r="O206" s="204">
        <f t="shared" si="33"/>
        <v>3.25</v>
      </c>
      <c r="P206" s="204">
        <f t="shared" si="34"/>
        <v>139.75</v>
      </c>
    </row>
    <row r="207" spans="1:16" ht="38.25">
      <c r="A207" s="129" t="s">
        <v>382</v>
      </c>
      <c r="B207" s="129"/>
      <c r="C207" s="8" t="s">
        <v>286</v>
      </c>
      <c r="D207" s="138" t="s">
        <v>20</v>
      </c>
      <c r="E207" s="133">
        <v>6.5</v>
      </c>
      <c r="F207" s="202">
        <f>4/5</f>
        <v>0.8</v>
      </c>
      <c r="G207" s="203">
        <v>6</v>
      </c>
      <c r="H207" s="204">
        <f t="shared" si="28"/>
        <v>4.8</v>
      </c>
      <c r="I207" s="205">
        <v>4.5</v>
      </c>
      <c r="J207" s="206">
        <v>0.5</v>
      </c>
      <c r="K207" s="207">
        <f t="shared" si="29"/>
        <v>9.8000000000000007</v>
      </c>
      <c r="L207" s="204">
        <f t="shared" si="30"/>
        <v>5.2</v>
      </c>
      <c r="M207" s="207">
        <f t="shared" si="31"/>
        <v>31.2</v>
      </c>
      <c r="N207" s="204">
        <f t="shared" si="32"/>
        <v>29.25</v>
      </c>
      <c r="O207" s="204">
        <f t="shared" si="33"/>
        <v>3.25</v>
      </c>
      <c r="P207" s="204">
        <f t="shared" si="34"/>
        <v>63.7</v>
      </c>
    </row>
    <row r="208" spans="1:16" ht="38.25">
      <c r="A208" s="129" t="s">
        <v>383</v>
      </c>
      <c r="B208" s="129"/>
      <c r="C208" s="8" t="s">
        <v>287</v>
      </c>
      <c r="D208" s="138" t="s">
        <v>20</v>
      </c>
      <c r="E208" s="133">
        <v>6.5</v>
      </c>
      <c r="F208" s="202">
        <v>0.8</v>
      </c>
      <c r="G208" s="203">
        <v>6</v>
      </c>
      <c r="H208" s="204">
        <f t="shared" si="28"/>
        <v>4.8</v>
      </c>
      <c r="I208" s="205">
        <v>4.5</v>
      </c>
      <c r="J208" s="206">
        <v>0.5</v>
      </c>
      <c r="K208" s="207">
        <f t="shared" si="29"/>
        <v>9.8000000000000007</v>
      </c>
      <c r="L208" s="204">
        <f t="shared" si="30"/>
        <v>5.2</v>
      </c>
      <c r="M208" s="207">
        <f t="shared" si="31"/>
        <v>31.2</v>
      </c>
      <c r="N208" s="204">
        <f t="shared" si="32"/>
        <v>29.25</v>
      </c>
      <c r="O208" s="204">
        <f t="shared" si="33"/>
        <v>3.25</v>
      </c>
      <c r="P208" s="204">
        <f t="shared" si="34"/>
        <v>63.7</v>
      </c>
    </row>
    <row r="209" spans="1:16" ht="25.5">
      <c r="A209" s="129" t="s">
        <v>384</v>
      </c>
      <c r="B209" s="129"/>
      <c r="C209" s="4" t="s">
        <v>288</v>
      </c>
      <c r="D209" s="138" t="s">
        <v>20</v>
      </c>
      <c r="E209" s="133">
        <v>6.5</v>
      </c>
      <c r="F209" s="202">
        <f>2/5</f>
        <v>0.4</v>
      </c>
      <c r="G209" s="203">
        <v>6</v>
      </c>
      <c r="H209" s="204">
        <f t="shared" si="28"/>
        <v>2.4</v>
      </c>
      <c r="I209" s="205">
        <v>16</v>
      </c>
      <c r="J209" s="206">
        <v>0.3</v>
      </c>
      <c r="K209" s="207">
        <f t="shared" si="29"/>
        <v>18.7</v>
      </c>
      <c r="L209" s="204">
        <f t="shared" si="30"/>
        <v>2.6</v>
      </c>
      <c r="M209" s="207">
        <f t="shared" si="31"/>
        <v>15.6</v>
      </c>
      <c r="N209" s="204">
        <f t="shared" si="32"/>
        <v>104</v>
      </c>
      <c r="O209" s="204">
        <f t="shared" si="33"/>
        <v>1.95</v>
      </c>
      <c r="P209" s="204">
        <f t="shared" si="34"/>
        <v>121.55</v>
      </c>
    </row>
    <row r="210" spans="1:16" ht="25.5">
      <c r="A210" s="129" t="s">
        <v>998</v>
      </c>
      <c r="B210" s="129"/>
      <c r="C210" s="4" t="s">
        <v>289</v>
      </c>
      <c r="D210" s="138" t="s">
        <v>20</v>
      </c>
      <c r="E210" s="133">
        <v>6.5</v>
      </c>
      <c r="F210" s="202">
        <v>0.4</v>
      </c>
      <c r="G210" s="203">
        <v>6</v>
      </c>
      <c r="H210" s="204">
        <f t="shared" si="28"/>
        <v>2.4</v>
      </c>
      <c r="I210" s="205">
        <v>4.3</v>
      </c>
      <c r="J210" s="206">
        <v>0.1</v>
      </c>
      <c r="K210" s="207">
        <f t="shared" si="29"/>
        <v>6.8</v>
      </c>
      <c r="L210" s="204">
        <f t="shared" si="30"/>
        <v>2.6</v>
      </c>
      <c r="M210" s="207">
        <f t="shared" si="31"/>
        <v>15.6</v>
      </c>
      <c r="N210" s="204">
        <f t="shared" si="32"/>
        <v>27.95</v>
      </c>
      <c r="O210" s="204">
        <f t="shared" si="33"/>
        <v>0.65</v>
      </c>
      <c r="P210" s="204">
        <f t="shared" si="34"/>
        <v>44.2</v>
      </c>
    </row>
    <row r="211" spans="1:16" ht="25.5">
      <c r="A211" s="129" t="s">
        <v>999</v>
      </c>
      <c r="B211" s="129"/>
      <c r="C211" s="4" t="s">
        <v>290</v>
      </c>
      <c r="D211" s="138" t="s">
        <v>20</v>
      </c>
      <c r="E211" s="133">
        <v>6.5</v>
      </c>
      <c r="F211" s="202">
        <v>0.4</v>
      </c>
      <c r="G211" s="203">
        <v>6</v>
      </c>
      <c r="H211" s="204">
        <f t="shared" ref="H211:H224" si="40">ROUND(G211*F211,2)</f>
        <v>2.4</v>
      </c>
      <c r="I211" s="205">
        <v>4.3</v>
      </c>
      <c r="J211" s="206">
        <v>0.1</v>
      </c>
      <c r="K211" s="207">
        <f t="shared" ref="K211:K224" si="41">SUM(H211:J211)</f>
        <v>6.8</v>
      </c>
      <c r="L211" s="204">
        <f t="shared" ref="L211:L224" si="42">ROUND(F211*E211,2)</f>
        <v>2.6</v>
      </c>
      <c r="M211" s="207">
        <f t="shared" ref="M211:M224" si="43">ROUND(H211*E211,2)</f>
        <v>15.6</v>
      </c>
      <c r="N211" s="204">
        <f t="shared" ref="N211:N224" si="44">ROUND(I211*E211,2)</f>
        <v>27.95</v>
      </c>
      <c r="O211" s="204">
        <f t="shared" ref="O211:O224" si="45">ROUND(J211*E211,2)</f>
        <v>0.65</v>
      </c>
      <c r="P211" s="204">
        <f t="shared" ref="P211:P224" si="46">SUM(M211:O211)</f>
        <v>44.2</v>
      </c>
    </row>
    <row r="212" spans="1:16" ht="15">
      <c r="A212" s="129" t="s">
        <v>1000</v>
      </c>
      <c r="B212" s="129"/>
      <c r="C212" s="4" t="s">
        <v>291</v>
      </c>
      <c r="D212" s="138" t="s">
        <v>20</v>
      </c>
      <c r="E212" s="133">
        <v>6.5</v>
      </c>
      <c r="F212" s="202">
        <v>0.1</v>
      </c>
      <c r="G212" s="203">
        <v>6</v>
      </c>
      <c r="H212" s="204">
        <f t="shared" si="40"/>
        <v>0.6</v>
      </c>
      <c r="I212" s="205">
        <v>0.9</v>
      </c>
      <c r="J212" s="206">
        <v>0.05</v>
      </c>
      <c r="K212" s="207">
        <f t="shared" si="41"/>
        <v>1.55</v>
      </c>
      <c r="L212" s="204">
        <f t="shared" si="42"/>
        <v>0.65</v>
      </c>
      <c r="M212" s="207">
        <f t="shared" si="43"/>
        <v>3.9</v>
      </c>
      <c r="N212" s="204">
        <f t="shared" si="44"/>
        <v>5.85</v>
      </c>
      <c r="O212" s="204">
        <f t="shared" si="45"/>
        <v>0.33</v>
      </c>
      <c r="P212" s="204">
        <f t="shared" si="46"/>
        <v>10.08</v>
      </c>
    </row>
    <row r="213" spans="1:16" ht="38.25">
      <c r="A213" s="129" t="s">
        <v>1001</v>
      </c>
      <c r="B213" s="129"/>
      <c r="C213" s="4" t="s">
        <v>190</v>
      </c>
      <c r="D213" s="138" t="s">
        <v>20</v>
      </c>
      <c r="E213" s="139">
        <v>4.4000000000000004</v>
      </c>
      <c r="F213" s="202">
        <v>1</v>
      </c>
      <c r="G213" s="203">
        <v>6</v>
      </c>
      <c r="H213" s="204">
        <f t="shared" si="40"/>
        <v>6</v>
      </c>
      <c r="I213" s="205">
        <v>5</v>
      </c>
      <c r="J213" s="206">
        <v>0.5</v>
      </c>
      <c r="K213" s="207">
        <f t="shared" si="41"/>
        <v>11.5</v>
      </c>
      <c r="L213" s="204">
        <f t="shared" si="42"/>
        <v>4.4000000000000004</v>
      </c>
      <c r="M213" s="207">
        <f t="shared" si="43"/>
        <v>26.4</v>
      </c>
      <c r="N213" s="204">
        <f t="shared" si="44"/>
        <v>22</v>
      </c>
      <c r="O213" s="204">
        <f t="shared" si="45"/>
        <v>2.2000000000000002</v>
      </c>
      <c r="P213" s="204">
        <f t="shared" si="46"/>
        <v>50.6</v>
      </c>
    </row>
    <row r="214" spans="1:16" ht="38.25">
      <c r="A214" s="129" t="s">
        <v>1002</v>
      </c>
      <c r="B214" s="129"/>
      <c r="C214" s="19" t="s">
        <v>191</v>
      </c>
      <c r="D214" s="138" t="s">
        <v>20</v>
      </c>
      <c r="E214" s="139">
        <v>4.4000000000000004</v>
      </c>
      <c r="F214" s="202">
        <f>8/5</f>
        <v>1.6</v>
      </c>
      <c r="G214" s="203">
        <v>6</v>
      </c>
      <c r="H214" s="204">
        <f t="shared" si="40"/>
        <v>9.6</v>
      </c>
      <c r="I214" s="205">
        <v>1.8</v>
      </c>
      <c r="J214" s="206">
        <v>0.5</v>
      </c>
      <c r="K214" s="207">
        <f t="shared" si="41"/>
        <v>11.9</v>
      </c>
      <c r="L214" s="204">
        <f t="shared" si="42"/>
        <v>7.04</v>
      </c>
      <c r="M214" s="207">
        <f t="shared" si="43"/>
        <v>42.24</v>
      </c>
      <c r="N214" s="204">
        <f t="shared" si="44"/>
        <v>7.92</v>
      </c>
      <c r="O214" s="204">
        <f t="shared" si="45"/>
        <v>2.2000000000000002</v>
      </c>
      <c r="P214" s="204">
        <f t="shared" si="46"/>
        <v>52.36</v>
      </c>
    </row>
    <row r="215" spans="1:16" ht="38.25">
      <c r="A215" s="129" t="s">
        <v>1021</v>
      </c>
      <c r="B215" s="129"/>
      <c r="C215" s="19" t="s">
        <v>192</v>
      </c>
      <c r="D215" s="138" t="s">
        <v>20</v>
      </c>
      <c r="E215" s="139">
        <v>4.4000000000000004</v>
      </c>
      <c r="F215" s="202">
        <f>3/5</f>
        <v>0.6</v>
      </c>
      <c r="G215" s="203">
        <v>6</v>
      </c>
      <c r="H215" s="204">
        <f t="shared" si="40"/>
        <v>3.6</v>
      </c>
      <c r="I215" s="205">
        <v>2.5</v>
      </c>
      <c r="J215" s="206">
        <v>0.2</v>
      </c>
      <c r="K215" s="207">
        <f t="shared" si="41"/>
        <v>6.3</v>
      </c>
      <c r="L215" s="204">
        <f t="shared" si="42"/>
        <v>2.64</v>
      </c>
      <c r="M215" s="207">
        <f t="shared" si="43"/>
        <v>15.84</v>
      </c>
      <c r="N215" s="204">
        <f t="shared" si="44"/>
        <v>11</v>
      </c>
      <c r="O215" s="204">
        <f t="shared" si="45"/>
        <v>0.88</v>
      </c>
      <c r="P215" s="204">
        <f t="shared" si="46"/>
        <v>27.72</v>
      </c>
    </row>
    <row r="216" spans="1:16" ht="51">
      <c r="A216" s="146" t="s">
        <v>1050</v>
      </c>
      <c r="B216" s="146"/>
      <c r="C216" s="43" t="s">
        <v>1055</v>
      </c>
      <c r="D216" s="154" t="s">
        <v>20</v>
      </c>
      <c r="E216" s="155">
        <v>8</v>
      </c>
      <c r="F216" s="231">
        <v>3</v>
      </c>
      <c r="G216" s="203">
        <v>6</v>
      </c>
      <c r="H216" s="232">
        <f t="shared" si="40"/>
        <v>18</v>
      </c>
      <c r="I216" s="232">
        <f>43*1.2+3</f>
        <v>54.6</v>
      </c>
      <c r="J216" s="233">
        <v>0.5</v>
      </c>
      <c r="K216" s="207">
        <f t="shared" si="41"/>
        <v>73.099999999999994</v>
      </c>
      <c r="L216" s="204">
        <f t="shared" si="42"/>
        <v>24</v>
      </c>
      <c r="M216" s="207">
        <f t="shared" si="43"/>
        <v>144</v>
      </c>
      <c r="N216" s="204">
        <f t="shared" si="44"/>
        <v>436.8</v>
      </c>
      <c r="O216" s="204">
        <f t="shared" si="45"/>
        <v>4</v>
      </c>
      <c r="P216" s="204">
        <f t="shared" si="46"/>
        <v>584.79999999999995</v>
      </c>
    </row>
    <row r="217" spans="1:16" ht="15">
      <c r="A217" s="126" t="s">
        <v>148</v>
      </c>
      <c r="B217" s="126"/>
      <c r="C217" s="13" t="s">
        <v>292</v>
      </c>
      <c r="D217" s="138"/>
      <c r="E217" s="133"/>
      <c r="F217" s="202"/>
      <c r="G217" s="203">
        <v>6</v>
      </c>
      <c r="H217" s="204">
        <f t="shared" si="40"/>
        <v>0</v>
      </c>
      <c r="I217" s="205"/>
      <c r="J217" s="206"/>
      <c r="K217" s="207">
        <f t="shared" si="41"/>
        <v>0</v>
      </c>
      <c r="L217" s="204">
        <f t="shared" si="42"/>
        <v>0</v>
      </c>
      <c r="M217" s="207">
        <f t="shared" si="43"/>
        <v>0</v>
      </c>
      <c r="N217" s="204">
        <f t="shared" si="44"/>
        <v>0</v>
      </c>
      <c r="O217" s="204">
        <f t="shared" si="45"/>
        <v>0</v>
      </c>
      <c r="P217" s="204">
        <f t="shared" si="46"/>
        <v>0</v>
      </c>
    </row>
    <row r="218" spans="1:16" ht="25.5">
      <c r="A218" s="129" t="s">
        <v>1003</v>
      </c>
      <c r="B218" s="129"/>
      <c r="C218" s="3" t="s">
        <v>293</v>
      </c>
      <c r="D218" s="6" t="s">
        <v>16</v>
      </c>
      <c r="E218" s="133">
        <v>0.56000000000000005</v>
      </c>
      <c r="F218" s="202">
        <v>2</v>
      </c>
      <c r="G218" s="203">
        <v>6</v>
      </c>
      <c r="H218" s="204">
        <f t="shared" si="40"/>
        <v>12</v>
      </c>
      <c r="I218" s="205">
        <v>15</v>
      </c>
      <c r="J218" s="206">
        <v>4</v>
      </c>
      <c r="K218" s="207">
        <f t="shared" si="41"/>
        <v>31</v>
      </c>
      <c r="L218" s="204">
        <f t="shared" si="42"/>
        <v>1.1200000000000001</v>
      </c>
      <c r="M218" s="207">
        <f t="shared" si="43"/>
        <v>6.72</v>
      </c>
      <c r="N218" s="204">
        <f t="shared" si="44"/>
        <v>8.4</v>
      </c>
      <c r="O218" s="204">
        <f t="shared" si="45"/>
        <v>2.2400000000000002</v>
      </c>
      <c r="P218" s="204">
        <f t="shared" si="46"/>
        <v>17.36</v>
      </c>
    </row>
    <row r="219" spans="1:16">
      <c r="A219" s="129" t="s">
        <v>1004</v>
      </c>
      <c r="B219" s="129"/>
      <c r="C219" s="3" t="s">
        <v>172</v>
      </c>
      <c r="D219" s="134" t="s">
        <v>20</v>
      </c>
      <c r="E219" s="133">
        <v>1</v>
      </c>
      <c r="F219" s="202">
        <v>3</v>
      </c>
      <c r="G219" s="203">
        <v>6</v>
      </c>
      <c r="H219" s="204">
        <f t="shared" si="40"/>
        <v>18</v>
      </c>
      <c r="I219" s="205">
        <v>0.3</v>
      </c>
      <c r="J219" s="206">
        <v>7</v>
      </c>
      <c r="K219" s="207">
        <f t="shared" si="41"/>
        <v>25.3</v>
      </c>
      <c r="L219" s="204">
        <f t="shared" si="42"/>
        <v>3</v>
      </c>
      <c r="M219" s="207">
        <f t="shared" si="43"/>
        <v>18</v>
      </c>
      <c r="N219" s="204">
        <f t="shared" si="44"/>
        <v>0.3</v>
      </c>
      <c r="O219" s="204">
        <f t="shared" si="45"/>
        <v>7</v>
      </c>
      <c r="P219" s="204">
        <f t="shared" si="46"/>
        <v>25.3</v>
      </c>
    </row>
    <row r="220" spans="1:16" ht="25.5">
      <c r="A220" s="129" t="s">
        <v>1022</v>
      </c>
      <c r="B220" s="129"/>
      <c r="C220" s="3" t="s">
        <v>21</v>
      </c>
      <c r="D220" s="134" t="s">
        <v>4</v>
      </c>
      <c r="E220" s="133">
        <v>26.47</v>
      </c>
      <c r="F220" s="202">
        <v>0.1</v>
      </c>
      <c r="G220" s="203">
        <v>6</v>
      </c>
      <c r="H220" s="204">
        <f t="shared" si="40"/>
        <v>0.6</v>
      </c>
      <c r="I220" s="205">
        <v>1.1000000000000001</v>
      </c>
      <c r="J220" s="206">
        <v>0.1</v>
      </c>
      <c r="K220" s="207">
        <f t="shared" si="41"/>
        <v>1.8</v>
      </c>
      <c r="L220" s="204">
        <f t="shared" si="42"/>
        <v>2.65</v>
      </c>
      <c r="M220" s="207">
        <f t="shared" si="43"/>
        <v>15.88</v>
      </c>
      <c r="N220" s="204">
        <f t="shared" si="44"/>
        <v>29.12</v>
      </c>
      <c r="O220" s="204">
        <f t="shared" si="45"/>
        <v>2.65</v>
      </c>
      <c r="P220" s="204">
        <f t="shared" si="46"/>
        <v>47.65</v>
      </c>
    </row>
    <row r="221" spans="1:16">
      <c r="A221" s="129" t="s">
        <v>1051</v>
      </c>
      <c r="B221" s="129"/>
      <c r="C221" s="8" t="s">
        <v>294</v>
      </c>
      <c r="D221" s="6" t="s">
        <v>16</v>
      </c>
      <c r="E221" s="133">
        <v>0.76</v>
      </c>
      <c r="F221" s="202">
        <f>60/5</f>
        <v>12</v>
      </c>
      <c r="G221" s="203">
        <v>6</v>
      </c>
      <c r="H221" s="204">
        <f t="shared" si="40"/>
        <v>72</v>
      </c>
      <c r="I221" s="205">
        <v>70</v>
      </c>
      <c r="J221" s="206">
        <v>30</v>
      </c>
      <c r="K221" s="207">
        <f t="shared" si="41"/>
        <v>172</v>
      </c>
      <c r="L221" s="204">
        <f t="shared" si="42"/>
        <v>9.1199999999999992</v>
      </c>
      <c r="M221" s="207">
        <f t="shared" si="43"/>
        <v>54.72</v>
      </c>
      <c r="N221" s="204">
        <f t="shared" si="44"/>
        <v>53.2</v>
      </c>
      <c r="O221" s="204">
        <f t="shared" si="45"/>
        <v>22.8</v>
      </c>
      <c r="P221" s="204">
        <f t="shared" si="46"/>
        <v>130.72</v>
      </c>
    </row>
    <row r="222" spans="1:16">
      <c r="A222" s="126" t="s">
        <v>149</v>
      </c>
      <c r="B222" s="126"/>
      <c r="C222" s="7" t="s">
        <v>23</v>
      </c>
      <c r="D222" s="134"/>
      <c r="E222" s="133"/>
      <c r="F222" s="202"/>
      <c r="G222" s="203">
        <v>6</v>
      </c>
      <c r="H222" s="204">
        <f t="shared" si="40"/>
        <v>0</v>
      </c>
      <c r="I222" s="205"/>
      <c r="J222" s="206"/>
      <c r="K222" s="207">
        <f t="shared" si="41"/>
        <v>0</v>
      </c>
      <c r="L222" s="204">
        <f t="shared" si="42"/>
        <v>0</v>
      </c>
      <c r="M222" s="207">
        <f t="shared" si="43"/>
        <v>0</v>
      </c>
      <c r="N222" s="204">
        <f t="shared" si="44"/>
        <v>0</v>
      </c>
      <c r="O222" s="204">
        <f t="shared" si="45"/>
        <v>0</v>
      </c>
      <c r="P222" s="204">
        <f t="shared" si="46"/>
        <v>0</v>
      </c>
    </row>
    <row r="223" spans="1:16">
      <c r="A223" s="129" t="s">
        <v>1023</v>
      </c>
      <c r="B223" s="129"/>
      <c r="C223" s="2" t="s">
        <v>15</v>
      </c>
      <c r="D223" s="6" t="s">
        <v>16</v>
      </c>
      <c r="E223" s="156">
        <v>80</v>
      </c>
      <c r="F223" s="202">
        <v>0.1</v>
      </c>
      <c r="G223" s="203">
        <v>6</v>
      </c>
      <c r="H223" s="204">
        <f t="shared" si="40"/>
        <v>0.6</v>
      </c>
      <c r="I223" s="205"/>
      <c r="J223" s="206">
        <v>10</v>
      </c>
      <c r="K223" s="207">
        <f t="shared" si="41"/>
        <v>10.6</v>
      </c>
      <c r="L223" s="204">
        <f t="shared" si="42"/>
        <v>8</v>
      </c>
      <c r="M223" s="207">
        <f t="shared" si="43"/>
        <v>48</v>
      </c>
      <c r="N223" s="204">
        <f t="shared" si="44"/>
        <v>0</v>
      </c>
      <c r="O223" s="204">
        <f t="shared" si="45"/>
        <v>800</v>
      </c>
      <c r="P223" s="204">
        <f t="shared" si="46"/>
        <v>848</v>
      </c>
    </row>
    <row r="224" spans="1:16">
      <c r="A224" s="129" t="s">
        <v>1052</v>
      </c>
      <c r="B224" s="129"/>
      <c r="C224" s="2" t="s">
        <v>1117</v>
      </c>
      <c r="D224" s="134" t="s">
        <v>5</v>
      </c>
      <c r="E224" s="133">
        <v>56</v>
      </c>
      <c r="F224" s="202"/>
      <c r="G224" s="203">
        <v>6</v>
      </c>
      <c r="H224" s="204">
        <f t="shared" si="40"/>
        <v>0</v>
      </c>
      <c r="I224" s="205"/>
      <c r="J224" s="206">
        <v>8</v>
      </c>
      <c r="K224" s="207">
        <f t="shared" si="41"/>
        <v>8</v>
      </c>
      <c r="L224" s="204">
        <f t="shared" si="42"/>
        <v>0</v>
      </c>
      <c r="M224" s="207">
        <f t="shared" si="43"/>
        <v>0</v>
      </c>
      <c r="N224" s="204">
        <f t="shared" si="44"/>
        <v>0</v>
      </c>
      <c r="O224" s="204">
        <f t="shared" si="45"/>
        <v>448</v>
      </c>
      <c r="P224" s="204">
        <f t="shared" si="46"/>
        <v>448</v>
      </c>
    </row>
    <row r="225" spans="1:16" ht="15">
      <c r="A225" s="199"/>
      <c r="B225" s="199"/>
      <c r="C225" s="200"/>
      <c r="D225" s="154"/>
      <c r="E225" s="201"/>
      <c r="F225" s="202"/>
      <c r="G225" s="203"/>
      <c r="H225" s="204"/>
      <c r="I225" s="205"/>
      <c r="J225" s="206"/>
      <c r="K225" s="207"/>
      <c r="L225" s="204"/>
      <c r="M225" s="207"/>
      <c r="N225" s="204"/>
      <c r="O225" s="204"/>
      <c r="P225" s="204"/>
    </row>
    <row r="226" spans="1:16">
      <c r="A226" s="208"/>
      <c r="B226" s="208"/>
      <c r="C226" s="209" t="s">
        <v>1112</v>
      </c>
      <c r="D226" s="210"/>
      <c r="E226" s="211"/>
      <c r="F226" s="212"/>
      <c r="G226" s="212"/>
      <c r="H226" s="212"/>
      <c r="I226" s="212"/>
      <c r="J226" s="213"/>
      <c r="K226" s="213"/>
      <c r="L226" s="214">
        <f>SUM(L18:L225)</f>
        <v>6692.28</v>
      </c>
      <c r="M226" s="214">
        <f t="shared" ref="M226:P226" si="47">SUM(M18:M225)</f>
        <v>40153.57</v>
      </c>
      <c r="N226" s="214">
        <f t="shared" si="47"/>
        <v>55014.6</v>
      </c>
      <c r="O226" s="214">
        <f t="shared" si="47"/>
        <v>17801.29</v>
      </c>
      <c r="P226" s="214">
        <f t="shared" si="47"/>
        <v>112969.46</v>
      </c>
    </row>
    <row r="227" spans="1:16" ht="15" customHeight="1">
      <c r="A227" s="215" t="s">
        <v>1113</v>
      </c>
      <c r="B227" s="215"/>
      <c r="C227" s="216"/>
      <c r="D227" s="215"/>
      <c r="E227" s="217"/>
      <c r="F227" s="217"/>
      <c r="G227" s="217"/>
      <c r="H227" s="217"/>
      <c r="I227" s="217"/>
      <c r="J227" s="217"/>
      <c r="K227" s="217"/>
      <c r="L227" s="218"/>
      <c r="M227" s="218"/>
      <c r="N227" s="218"/>
      <c r="O227" s="218"/>
      <c r="P227" s="218"/>
    </row>
    <row r="228" spans="1:16" ht="15.75">
      <c r="A228" s="219"/>
      <c r="B228" s="219"/>
      <c r="C228" s="220"/>
      <c r="D228" s="219"/>
      <c r="E228" s="219"/>
      <c r="F228" s="219"/>
      <c r="G228" s="219"/>
      <c r="H228" s="219"/>
      <c r="I228" s="219"/>
      <c r="J228" s="219"/>
      <c r="K228" s="219"/>
      <c r="L228" s="219"/>
      <c r="M228" s="219"/>
      <c r="N228" s="219"/>
      <c r="O228" s="219"/>
      <c r="P228" s="219"/>
    </row>
    <row r="229" spans="1:16" ht="15">
      <c r="A229" s="219"/>
      <c r="B229" s="219"/>
      <c r="C229" s="219"/>
      <c r="D229" s="219"/>
      <c r="E229" s="219"/>
      <c r="F229" s="219"/>
      <c r="G229" s="219"/>
      <c r="H229" s="219"/>
      <c r="I229" s="219"/>
      <c r="J229" s="219"/>
      <c r="K229" s="219"/>
      <c r="L229" s="219"/>
      <c r="M229" s="219"/>
      <c r="N229" s="219"/>
      <c r="O229" s="219"/>
      <c r="P229" s="219"/>
    </row>
    <row r="230" spans="1:16" ht="15">
      <c r="A230" s="219"/>
      <c r="B230" s="219"/>
      <c r="C230" s="221" t="s">
        <v>1114</v>
      </c>
      <c r="D230" s="221"/>
      <c r="E230" s="221"/>
      <c r="F230" s="221"/>
      <c r="G230" s="222"/>
      <c r="H230" s="223"/>
      <c r="I230" s="223" t="s">
        <v>1115</v>
      </c>
      <c r="J230" s="222" t="s">
        <v>1116</v>
      </c>
      <c r="K230" s="222"/>
      <c r="L230" s="222"/>
      <c r="M230" s="222"/>
      <c r="N230" s="224"/>
      <c r="O230" s="219"/>
      <c r="P230" s="219"/>
    </row>
    <row r="231" spans="1:16" ht="15" customHeight="1">
      <c r="A231" s="219"/>
      <c r="B231" s="219"/>
      <c r="C231" s="225" t="s">
        <v>1097</v>
      </c>
      <c r="D231" s="225"/>
      <c r="E231" s="225"/>
      <c r="F231" s="225"/>
      <c r="G231" s="222"/>
      <c r="H231" s="222"/>
      <c r="I231" s="222"/>
      <c r="J231" s="312" t="s">
        <v>1097</v>
      </c>
      <c r="K231" s="312"/>
      <c r="L231" s="312"/>
      <c r="M231" s="312"/>
      <c r="N231" s="224"/>
      <c r="O231" s="219"/>
      <c r="P231" s="219"/>
    </row>
    <row r="232" spans="1:16" ht="15">
      <c r="A232" s="219"/>
      <c r="B232" s="219"/>
      <c r="C232" s="222" t="s">
        <v>1075</v>
      </c>
      <c r="D232" s="222"/>
      <c r="E232" s="222"/>
      <c r="F232" s="222"/>
      <c r="G232" s="222"/>
      <c r="H232" s="222"/>
      <c r="I232" s="222" t="s">
        <v>1078</v>
      </c>
      <c r="J232" s="222"/>
      <c r="K232" s="222"/>
      <c r="L232" s="222"/>
      <c r="M232" s="222"/>
      <c r="N232" s="224"/>
      <c r="O232" s="219"/>
      <c r="P232" s="219"/>
    </row>
    <row r="233" spans="1:16">
      <c r="A233" s="166"/>
      <c r="B233" s="166"/>
    </row>
    <row r="234" spans="1:16" ht="15" customHeight="1">
      <c r="A234" s="166"/>
      <c r="B234" s="166"/>
    </row>
    <row r="235" spans="1:16" s="157" customFormat="1">
      <c r="A235" s="166"/>
      <c r="B235" s="166"/>
      <c r="C235" s="121"/>
      <c r="D235" s="121"/>
      <c r="E235" s="121"/>
      <c r="F235" s="121"/>
      <c r="G235" s="121"/>
      <c r="H235" s="121"/>
      <c r="I235" s="121"/>
      <c r="J235" s="121"/>
      <c r="K235" s="121"/>
      <c r="L235" s="121"/>
      <c r="M235" s="121"/>
      <c r="N235" s="121"/>
      <c r="O235" s="121"/>
      <c r="P235" s="121"/>
    </row>
    <row r="236" spans="1:16">
      <c r="A236" s="166"/>
      <c r="B236" s="166"/>
    </row>
    <row r="237" spans="1:16">
      <c r="A237" s="166"/>
      <c r="B237" s="166"/>
    </row>
  </sheetData>
  <mergeCells count="15">
    <mergeCell ref="F14:K14"/>
    <mergeCell ref="L14:P14"/>
    <mergeCell ref="J231:M231"/>
    <mergeCell ref="A2:E2"/>
    <mergeCell ref="A4:E4"/>
    <mergeCell ref="A5:E5"/>
    <mergeCell ref="A7:E7"/>
    <mergeCell ref="A8:E8"/>
    <mergeCell ref="A9:E9"/>
    <mergeCell ref="A14:A15"/>
    <mergeCell ref="C14:C15"/>
    <mergeCell ref="D14:D15"/>
    <mergeCell ref="E14:E15"/>
    <mergeCell ref="A12:E12"/>
    <mergeCell ref="B14:B15"/>
  </mergeCells>
  <conditionalFormatting sqref="C43">
    <cfRule type="cellIs" dxfId="3" priority="1" stopIfTrue="1" operator="equal">
      <formula>0</formula>
    </cfRule>
  </conditionalFormatting>
  <pageMargins left="1.0629921259842521" right="0.43307086614173229" top="0.43307086614173229" bottom="0.44"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P82"/>
  <sheetViews>
    <sheetView showZeros="0" zoomScale="90" zoomScaleNormal="90" workbookViewId="0">
      <selection sqref="A1:P77"/>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31</v>
      </c>
      <c r="B2" s="313"/>
      <c r="C2" s="313"/>
      <c r="D2" s="313"/>
      <c r="E2" s="313"/>
    </row>
    <row r="3" spans="1:16">
      <c r="A3" s="122"/>
      <c r="B3" s="122"/>
      <c r="C3" s="122"/>
      <c r="D3" s="122"/>
      <c r="E3" s="122"/>
    </row>
    <row r="4" spans="1:16">
      <c r="A4" s="314" t="s">
        <v>385</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row>
    <row r="8" spans="1:16" s="124" customFormat="1" ht="12.75" customHeight="1">
      <c r="A8" s="281" t="s">
        <v>151</v>
      </c>
      <c r="B8" s="281"/>
      <c r="C8" s="281"/>
      <c r="D8" s="281"/>
      <c r="E8" s="281"/>
      <c r="F8" s="1"/>
      <c r="G8" s="1"/>
      <c r="H8" s="1"/>
    </row>
    <row r="9" spans="1:16" s="124" customFormat="1">
      <c r="A9" s="282" t="s">
        <v>152</v>
      </c>
      <c r="B9" s="282"/>
      <c r="C9" s="282"/>
      <c r="D9" s="282"/>
      <c r="E9" s="282"/>
      <c r="N9" s="159"/>
      <c r="O9" s="159"/>
    </row>
    <row r="10" spans="1:16" s="124" customFormat="1" ht="15" customHeight="1">
      <c r="A10" s="124" t="s">
        <v>17</v>
      </c>
    </row>
    <row r="11" spans="1:16" s="124" customFormat="1">
      <c r="A11" s="125"/>
      <c r="B11" s="125"/>
      <c r="C11" s="125"/>
      <c r="D11" s="125"/>
      <c r="E11" s="125"/>
    </row>
    <row r="12" spans="1:16" s="124" customFormat="1" ht="15" customHeight="1">
      <c r="A12" s="282" t="s">
        <v>32</v>
      </c>
      <c r="B12" s="282"/>
      <c r="C12" s="282"/>
      <c r="D12" s="282"/>
      <c r="E12" s="282"/>
    </row>
    <row r="13" spans="1:16">
      <c r="C13" s="123"/>
    </row>
    <row r="14" spans="1:16">
      <c r="A14" s="316" t="s">
        <v>1</v>
      </c>
      <c r="B14" s="319" t="s">
        <v>1098</v>
      </c>
      <c r="C14" s="317" t="s">
        <v>24</v>
      </c>
      <c r="D14" s="321" t="s">
        <v>2</v>
      </c>
      <c r="E14" s="318" t="s">
        <v>3</v>
      </c>
      <c r="F14" s="311" t="s">
        <v>1099</v>
      </c>
      <c r="G14" s="311"/>
      <c r="H14" s="311"/>
      <c r="I14" s="311"/>
      <c r="J14" s="311"/>
      <c r="K14" s="311"/>
      <c r="L14" s="311" t="s">
        <v>1100</v>
      </c>
      <c r="M14" s="311" t="s">
        <v>1101</v>
      </c>
      <c r="N14" s="311"/>
      <c r="O14" s="311"/>
      <c r="P14" s="311"/>
    </row>
    <row r="15" spans="1:16" ht="69.75">
      <c r="A15" s="316"/>
      <c r="B15" s="320"/>
      <c r="C15" s="317"/>
      <c r="D15" s="321"/>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252" t="s">
        <v>808</v>
      </c>
      <c r="B16" s="252"/>
      <c r="C16" s="253" t="s">
        <v>809</v>
      </c>
      <c r="D16" s="254"/>
      <c r="E16" s="255"/>
      <c r="F16" s="256"/>
      <c r="G16" s="256"/>
      <c r="H16" s="256"/>
      <c r="I16" s="256"/>
      <c r="J16" s="256"/>
      <c r="K16" s="256"/>
      <c r="L16" s="256"/>
      <c r="M16" s="256"/>
      <c r="N16" s="256"/>
      <c r="O16" s="256"/>
      <c r="P16" s="256"/>
    </row>
    <row r="17" spans="1:16" ht="25.5">
      <c r="A17" s="251" t="s">
        <v>810</v>
      </c>
      <c r="B17" s="251"/>
      <c r="C17" s="195" t="s">
        <v>1025</v>
      </c>
      <c r="D17" s="257" t="s">
        <v>797</v>
      </c>
      <c r="E17" s="156">
        <v>1</v>
      </c>
      <c r="F17" s="202">
        <v>10</v>
      </c>
      <c r="G17" s="203">
        <v>6</v>
      </c>
      <c r="H17" s="204">
        <f t="shared" ref="H17:H69" si="0">ROUND(G17*F17,2)</f>
        <v>60</v>
      </c>
      <c r="I17" s="205">
        <v>120</v>
      </c>
      <c r="J17" s="206">
        <v>2</v>
      </c>
      <c r="K17" s="207">
        <f t="shared" ref="K17:K69" si="1">SUM(H17:J17)</f>
        <v>182</v>
      </c>
      <c r="L17" s="204">
        <f t="shared" ref="L17:L69" si="2">ROUND(F17*E17,2)</f>
        <v>10</v>
      </c>
      <c r="M17" s="207">
        <f t="shared" ref="M17:M69" si="3">ROUND(H17*E17,2)</f>
        <v>60</v>
      </c>
      <c r="N17" s="204">
        <f t="shared" ref="N17:N69" si="4">ROUND(I17*E17,2)</f>
        <v>120</v>
      </c>
      <c r="O17" s="204">
        <f t="shared" ref="O17:O69" si="5">ROUND(J17*E17,2)</f>
        <v>2</v>
      </c>
      <c r="P17" s="204">
        <f t="shared" ref="P17:P69" si="6">SUM(M17:O17)</f>
        <v>182</v>
      </c>
    </row>
    <row r="18" spans="1:16" ht="25.5">
      <c r="A18" s="251" t="s">
        <v>811</v>
      </c>
      <c r="B18" s="251"/>
      <c r="C18" s="195" t="s">
        <v>812</v>
      </c>
      <c r="D18" s="257" t="s">
        <v>797</v>
      </c>
      <c r="E18" s="156">
        <v>1</v>
      </c>
      <c r="F18" s="202">
        <v>10</v>
      </c>
      <c r="G18" s="203">
        <v>6</v>
      </c>
      <c r="H18" s="204">
        <f t="shared" si="0"/>
        <v>60</v>
      </c>
      <c r="I18" s="205">
        <v>80</v>
      </c>
      <c r="J18" s="206">
        <v>2</v>
      </c>
      <c r="K18" s="207">
        <f t="shared" si="1"/>
        <v>142</v>
      </c>
      <c r="L18" s="204">
        <f t="shared" si="2"/>
        <v>10</v>
      </c>
      <c r="M18" s="207">
        <f t="shared" si="3"/>
        <v>60</v>
      </c>
      <c r="N18" s="204">
        <f t="shared" si="4"/>
        <v>80</v>
      </c>
      <c r="O18" s="204">
        <f t="shared" si="5"/>
        <v>2</v>
      </c>
      <c r="P18" s="204">
        <f t="shared" si="6"/>
        <v>142</v>
      </c>
    </row>
    <row r="19" spans="1:16">
      <c r="A19" s="251" t="s">
        <v>813</v>
      </c>
      <c r="B19" s="251"/>
      <c r="C19" s="8" t="s">
        <v>814</v>
      </c>
      <c r="D19" s="257" t="s">
        <v>797</v>
      </c>
      <c r="E19" s="156">
        <v>1</v>
      </c>
      <c r="F19" s="202">
        <f>2/5</f>
        <v>0.4</v>
      </c>
      <c r="G19" s="203">
        <v>6</v>
      </c>
      <c r="H19" s="204">
        <f t="shared" si="0"/>
        <v>2.4</v>
      </c>
      <c r="I19" s="205">
        <v>27</v>
      </c>
      <c r="J19" s="206">
        <v>0.1</v>
      </c>
      <c r="K19" s="207">
        <f t="shared" si="1"/>
        <v>29.5</v>
      </c>
      <c r="L19" s="204">
        <f t="shared" si="2"/>
        <v>0.4</v>
      </c>
      <c r="M19" s="207">
        <f t="shared" si="3"/>
        <v>2.4</v>
      </c>
      <c r="N19" s="204">
        <f t="shared" si="4"/>
        <v>27</v>
      </c>
      <c r="O19" s="204">
        <f t="shared" si="5"/>
        <v>0.1</v>
      </c>
      <c r="P19" s="204">
        <f t="shared" si="6"/>
        <v>29.5</v>
      </c>
    </row>
    <row r="20" spans="1:16">
      <c r="A20" s="251" t="s">
        <v>815</v>
      </c>
      <c r="B20" s="251"/>
      <c r="C20" s="8" t="s">
        <v>816</v>
      </c>
      <c r="D20" s="257" t="s">
        <v>797</v>
      </c>
      <c r="E20" s="156">
        <v>1</v>
      </c>
      <c r="F20" s="202">
        <f t="shared" ref="F20:F27" si="7">2/5</f>
        <v>0.4</v>
      </c>
      <c r="G20" s="203">
        <v>6</v>
      </c>
      <c r="H20" s="204">
        <f t="shared" si="0"/>
        <v>2.4</v>
      </c>
      <c r="I20" s="205">
        <v>8.8000000000000007</v>
      </c>
      <c r="J20" s="206">
        <v>0.1</v>
      </c>
      <c r="K20" s="207">
        <f t="shared" si="1"/>
        <v>11.3</v>
      </c>
      <c r="L20" s="204">
        <f t="shared" si="2"/>
        <v>0.4</v>
      </c>
      <c r="M20" s="207">
        <f t="shared" si="3"/>
        <v>2.4</v>
      </c>
      <c r="N20" s="204">
        <f t="shared" si="4"/>
        <v>8.8000000000000007</v>
      </c>
      <c r="O20" s="204">
        <f t="shared" si="5"/>
        <v>0.1</v>
      </c>
      <c r="P20" s="204">
        <f t="shared" si="6"/>
        <v>11.3</v>
      </c>
    </row>
    <row r="21" spans="1:16">
      <c r="A21" s="251" t="s">
        <v>817</v>
      </c>
      <c r="B21" s="251"/>
      <c r="C21" s="8" t="s">
        <v>1026</v>
      </c>
      <c r="D21" s="257" t="s">
        <v>797</v>
      </c>
      <c r="E21" s="156">
        <v>1</v>
      </c>
      <c r="F21" s="202">
        <f t="shared" si="7"/>
        <v>0.4</v>
      </c>
      <c r="G21" s="203">
        <v>6</v>
      </c>
      <c r="H21" s="204">
        <f t="shared" si="0"/>
        <v>2.4</v>
      </c>
      <c r="I21" s="205">
        <v>7</v>
      </c>
      <c r="J21" s="206">
        <v>0.1</v>
      </c>
      <c r="K21" s="207">
        <f t="shared" si="1"/>
        <v>9.5</v>
      </c>
      <c r="L21" s="204">
        <f t="shared" si="2"/>
        <v>0.4</v>
      </c>
      <c r="M21" s="207">
        <f t="shared" si="3"/>
        <v>2.4</v>
      </c>
      <c r="N21" s="204">
        <f t="shared" si="4"/>
        <v>7</v>
      </c>
      <c r="O21" s="204">
        <f t="shared" si="5"/>
        <v>0.1</v>
      </c>
      <c r="P21" s="204">
        <f t="shared" si="6"/>
        <v>9.5</v>
      </c>
    </row>
    <row r="22" spans="1:16">
      <c r="A22" s="251" t="s">
        <v>818</v>
      </c>
      <c r="B22" s="251"/>
      <c r="C22" s="8" t="s">
        <v>1027</v>
      </c>
      <c r="D22" s="257" t="s">
        <v>797</v>
      </c>
      <c r="E22" s="156">
        <v>3</v>
      </c>
      <c r="F22" s="202">
        <f t="shared" si="7"/>
        <v>0.4</v>
      </c>
      <c r="G22" s="203">
        <v>6</v>
      </c>
      <c r="H22" s="204">
        <f t="shared" si="0"/>
        <v>2.4</v>
      </c>
      <c r="I22" s="205">
        <v>7.02</v>
      </c>
      <c r="J22" s="206">
        <v>0.1</v>
      </c>
      <c r="K22" s="207">
        <f t="shared" si="1"/>
        <v>9.52</v>
      </c>
      <c r="L22" s="204">
        <f t="shared" si="2"/>
        <v>1.2</v>
      </c>
      <c r="M22" s="207">
        <f t="shared" si="3"/>
        <v>7.2</v>
      </c>
      <c r="N22" s="204">
        <f t="shared" si="4"/>
        <v>21.06</v>
      </c>
      <c r="O22" s="204">
        <f t="shared" si="5"/>
        <v>0.3</v>
      </c>
      <c r="P22" s="204">
        <f t="shared" si="6"/>
        <v>28.56</v>
      </c>
    </row>
    <row r="23" spans="1:16">
      <c r="A23" s="251" t="s">
        <v>820</v>
      </c>
      <c r="B23" s="251"/>
      <c r="C23" s="8" t="s">
        <v>819</v>
      </c>
      <c r="D23" s="257" t="s">
        <v>797</v>
      </c>
      <c r="E23" s="156">
        <v>6</v>
      </c>
      <c r="F23" s="202">
        <f t="shared" si="7"/>
        <v>0.4</v>
      </c>
      <c r="G23" s="203">
        <v>6</v>
      </c>
      <c r="H23" s="204">
        <f t="shared" si="0"/>
        <v>2.4</v>
      </c>
      <c r="I23" s="205">
        <v>2</v>
      </c>
      <c r="J23" s="206">
        <v>0.1</v>
      </c>
      <c r="K23" s="207">
        <f t="shared" si="1"/>
        <v>4.5</v>
      </c>
      <c r="L23" s="204">
        <f t="shared" si="2"/>
        <v>2.4</v>
      </c>
      <c r="M23" s="207">
        <f t="shared" si="3"/>
        <v>14.4</v>
      </c>
      <c r="N23" s="204">
        <f t="shared" si="4"/>
        <v>12</v>
      </c>
      <c r="O23" s="204">
        <f t="shared" si="5"/>
        <v>0.6</v>
      </c>
      <c r="P23" s="204">
        <f t="shared" si="6"/>
        <v>27</v>
      </c>
    </row>
    <row r="24" spans="1:16">
      <c r="A24" s="251" t="s">
        <v>822</v>
      </c>
      <c r="B24" s="251"/>
      <c r="C24" s="8" t="s">
        <v>821</v>
      </c>
      <c r="D24" s="257" t="s">
        <v>797</v>
      </c>
      <c r="E24" s="156">
        <v>2</v>
      </c>
      <c r="F24" s="202">
        <f t="shared" si="7"/>
        <v>0.4</v>
      </c>
      <c r="G24" s="203">
        <v>6</v>
      </c>
      <c r="H24" s="204">
        <f t="shared" si="0"/>
        <v>2.4</v>
      </c>
      <c r="I24" s="205">
        <v>2</v>
      </c>
      <c r="J24" s="206">
        <v>0.1</v>
      </c>
      <c r="K24" s="207">
        <f t="shared" si="1"/>
        <v>4.5</v>
      </c>
      <c r="L24" s="204">
        <f t="shared" si="2"/>
        <v>0.8</v>
      </c>
      <c r="M24" s="207">
        <f t="shared" si="3"/>
        <v>4.8</v>
      </c>
      <c r="N24" s="204">
        <f t="shared" si="4"/>
        <v>4</v>
      </c>
      <c r="O24" s="204">
        <f t="shared" si="5"/>
        <v>0.2</v>
      </c>
      <c r="P24" s="204">
        <f t="shared" si="6"/>
        <v>9</v>
      </c>
    </row>
    <row r="25" spans="1:16">
      <c r="A25" s="251" t="s">
        <v>824</v>
      </c>
      <c r="B25" s="251"/>
      <c r="C25" s="8" t="s">
        <v>823</v>
      </c>
      <c r="D25" s="257" t="s">
        <v>797</v>
      </c>
      <c r="E25" s="156">
        <v>1</v>
      </c>
      <c r="F25" s="202">
        <f t="shared" si="7"/>
        <v>0.4</v>
      </c>
      <c r="G25" s="203">
        <v>6</v>
      </c>
      <c r="H25" s="204">
        <f t="shared" si="0"/>
        <v>2.4</v>
      </c>
      <c r="I25" s="205">
        <v>2</v>
      </c>
      <c r="J25" s="206">
        <v>0.1</v>
      </c>
      <c r="K25" s="207">
        <f t="shared" si="1"/>
        <v>4.5</v>
      </c>
      <c r="L25" s="204">
        <f t="shared" si="2"/>
        <v>0.4</v>
      </c>
      <c r="M25" s="207">
        <f t="shared" si="3"/>
        <v>2.4</v>
      </c>
      <c r="N25" s="204">
        <f t="shared" si="4"/>
        <v>2</v>
      </c>
      <c r="O25" s="204">
        <f t="shared" si="5"/>
        <v>0.1</v>
      </c>
      <c r="P25" s="204">
        <f t="shared" si="6"/>
        <v>4.5</v>
      </c>
    </row>
    <row r="26" spans="1:16">
      <c r="A26" s="251" t="s">
        <v>826</v>
      </c>
      <c r="B26" s="251"/>
      <c r="C26" s="8" t="s">
        <v>825</v>
      </c>
      <c r="D26" s="257" t="s">
        <v>797</v>
      </c>
      <c r="E26" s="156">
        <v>5</v>
      </c>
      <c r="F26" s="202">
        <f t="shared" si="7"/>
        <v>0.4</v>
      </c>
      <c r="G26" s="203">
        <v>6</v>
      </c>
      <c r="H26" s="204">
        <f t="shared" si="0"/>
        <v>2.4</v>
      </c>
      <c r="I26" s="205">
        <v>2</v>
      </c>
      <c r="J26" s="206">
        <v>0.1</v>
      </c>
      <c r="K26" s="207">
        <f t="shared" si="1"/>
        <v>4.5</v>
      </c>
      <c r="L26" s="204">
        <f t="shared" si="2"/>
        <v>2</v>
      </c>
      <c r="M26" s="207">
        <f t="shared" si="3"/>
        <v>12</v>
      </c>
      <c r="N26" s="204">
        <f t="shared" si="4"/>
        <v>10</v>
      </c>
      <c r="O26" s="204">
        <f t="shared" si="5"/>
        <v>0.5</v>
      </c>
      <c r="P26" s="204">
        <f t="shared" si="6"/>
        <v>22.5</v>
      </c>
    </row>
    <row r="27" spans="1:16">
      <c r="A27" s="251" t="s">
        <v>828</v>
      </c>
      <c r="B27" s="251"/>
      <c r="C27" s="8" t="s">
        <v>827</v>
      </c>
      <c r="D27" s="257" t="s">
        <v>797</v>
      </c>
      <c r="E27" s="156">
        <v>2</v>
      </c>
      <c r="F27" s="202">
        <f t="shared" si="7"/>
        <v>0.4</v>
      </c>
      <c r="G27" s="203">
        <v>6</v>
      </c>
      <c r="H27" s="204">
        <f t="shared" si="0"/>
        <v>2.4</v>
      </c>
      <c r="I27" s="205">
        <v>2</v>
      </c>
      <c r="J27" s="206">
        <v>0.1</v>
      </c>
      <c r="K27" s="207">
        <f t="shared" si="1"/>
        <v>4.5</v>
      </c>
      <c r="L27" s="204">
        <f t="shared" si="2"/>
        <v>0.8</v>
      </c>
      <c r="M27" s="207">
        <f t="shared" si="3"/>
        <v>4.8</v>
      </c>
      <c r="N27" s="204">
        <f t="shared" si="4"/>
        <v>4</v>
      </c>
      <c r="O27" s="204">
        <f t="shared" si="5"/>
        <v>0.2</v>
      </c>
      <c r="P27" s="204">
        <f t="shared" si="6"/>
        <v>9</v>
      </c>
    </row>
    <row r="28" spans="1:16" ht="25.5">
      <c r="A28" s="251" t="s">
        <v>830</v>
      </c>
      <c r="B28" s="251"/>
      <c r="C28" s="195" t="s">
        <v>829</v>
      </c>
      <c r="D28" s="257" t="s">
        <v>797</v>
      </c>
      <c r="E28" s="156">
        <v>5</v>
      </c>
      <c r="F28" s="202">
        <v>0.6</v>
      </c>
      <c r="G28" s="203">
        <v>6</v>
      </c>
      <c r="H28" s="204">
        <f t="shared" si="0"/>
        <v>3.6</v>
      </c>
      <c r="I28" s="205">
        <v>6.5</v>
      </c>
      <c r="J28" s="206">
        <v>0.1</v>
      </c>
      <c r="K28" s="207">
        <f t="shared" si="1"/>
        <v>10.199999999999999</v>
      </c>
      <c r="L28" s="204">
        <f t="shared" si="2"/>
        <v>3</v>
      </c>
      <c r="M28" s="207">
        <f t="shared" si="3"/>
        <v>18</v>
      </c>
      <c r="N28" s="204">
        <f t="shared" si="4"/>
        <v>32.5</v>
      </c>
      <c r="O28" s="204">
        <f t="shared" si="5"/>
        <v>0.5</v>
      </c>
      <c r="P28" s="204">
        <f t="shared" si="6"/>
        <v>51</v>
      </c>
    </row>
    <row r="29" spans="1:16" ht="25.5">
      <c r="A29" s="251" t="s">
        <v>832</v>
      </c>
      <c r="B29" s="251"/>
      <c r="C29" s="195" t="s">
        <v>831</v>
      </c>
      <c r="D29" s="257" t="s">
        <v>797</v>
      </c>
      <c r="E29" s="156">
        <v>1</v>
      </c>
      <c r="F29" s="202">
        <v>1</v>
      </c>
      <c r="G29" s="203">
        <v>6</v>
      </c>
      <c r="H29" s="204">
        <f t="shared" si="0"/>
        <v>6</v>
      </c>
      <c r="I29" s="205">
        <v>27</v>
      </c>
      <c r="J29" s="206">
        <v>0.1</v>
      </c>
      <c r="K29" s="207">
        <f t="shared" si="1"/>
        <v>33.1</v>
      </c>
      <c r="L29" s="204">
        <f t="shared" si="2"/>
        <v>1</v>
      </c>
      <c r="M29" s="207">
        <f t="shared" si="3"/>
        <v>6</v>
      </c>
      <c r="N29" s="204">
        <f t="shared" si="4"/>
        <v>27</v>
      </c>
      <c r="O29" s="204">
        <f t="shared" si="5"/>
        <v>0.1</v>
      </c>
      <c r="P29" s="204">
        <f t="shared" si="6"/>
        <v>33.1</v>
      </c>
    </row>
    <row r="30" spans="1:16" ht="25.5">
      <c r="A30" s="251" t="s">
        <v>834</v>
      </c>
      <c r="B30" s="251"/>
      <c r="C30" s="195" t="s">
        <v>833</v>
      </c>
      <c r="D30" s="257" t="s">
        <v>797</v>
      </c>
      <c r="E30" s="156">
        <v>1</v>
      </c>
      <c r="F30" s="202">
        <v>1</v>
      </c>
      <c r="G30" s="203">
        <v>6</v>
      </c>
      <c r="H30" s="204">
        <f t="shared" si="0"/>
        <v>6</v>
      </c>
      <c r="I30" s="205">
        <v>18</v>
      </c>
      <c r="J30" s="206">
        <v>0.1</v>
      </c>
      <c r="K30" s="207">
        <f t="shared" si="1"/>
        <v>24.1</v>
      </c>
      <c r="L30" s="204">
        <f t="shared" si="2"/>
        <v>1</v>
      </c>
      <c r="M30" s="207">
        <f t="shared" si="3"/>
        <v>6</v>
      </c>
      <c r="N30" s="204">
        <f t="shared" si="4"/>
        <v>18</v>
      </c>
      <c r="O30" s="204">
        <f t="shared" si="5"/>
        <v>0.1</v>
      </c>
      <c r="P30" s="204">
        <f t="shared" si="6"/>
        <v>24.1</v>
      </c>
    </row>
    <row r="31" spans="1:16">
      <c r="A31" s="251" t="s">
        <v>836</v>
      </c>
      <c r="B31" s="251"/>
      <c r="C31" s="195" t="s">
        <v>835</v>
      </c>
      <c r="D31" s="257" t="s">
        <v>797</v>
      </c>
      <c r="E31" s="156">
        <v>200</v>
      </c>
      <c r="F31" s="202">
        <v>0.02</v>
      </c>
      <c r="G31" s="203">
        <v>6</v>
      </c>
      <c r="H31" s="204">
        <f t="shared" si="0"/>
        <v>0.12</v>
      </c>
      <c r="I31" s="205">
        <f>33/200</f>
        <v>0.17</v>
      </c>
      <c r="J31" s="206">
        <v>0.1</v>
      </c>
      <c r="K31" s="207">
        <f t="shared" si="1"/>
        <v>0.39</v>
      </c>
      <c r="L31" s="204">
        <f t="shared" si="2"/>
        <v>4</v>
      </c>
      <c r="M31" s="207">
        <f t="shared" si="3"/>
        <v>24</v>
      </c>
      <c r="N31" s="204">
        <f t="shared" si="4"/>
        <v>34</v>
      </c>
      <c r="O31" s="204">
        <f t="shared" si="5"/>
        <v>20</v>
      </c>
      <c r="P31" s="204">
        <f t="shared" si="6"/>
        <v>78</v>
      </c>
    </row>
    <row r="32" spans="1:16">
      <c r="A32" s="251" t="s">
        <v>838</v>
      </c>
      <c r="B32" s="251"/>
      <c r="C32" s="195" t="s">
        <v>837</v>
      </c>
      <c r="D32" s="257" t="s">
        <v>797</v>
      </c>
      <c r="E32" s="156">
        <v>30</v>
      </c>
      <c r="F32" s="202">
        <v>0.2</v>
      </c>
      <c r="G32" s="203">
        <v>6</v>
      </c>
      <c r="H32" s="204">
        <f t="shared" si="0"/>
        <v>1.2</v>
      </c>
      <c r="I32" s="205">
        <v>0.9</v>
      </c>
      <c r="J32" s="206">
        <v>0.1</v>
      </c>
      <c r="K32" s="207">
        <f t="shared" si="1"/>
        <v>2.2000000000000002</v>
      </c>
      <c r="L32" s="204">
        <f t="shared" si="2"/>
        <v>6</v>
      </c>
      <c r="M32" s="207">
        <f t="shared" si="3"/>
        <v>36</v>
      </c>
      <c r="N32" s="204">
        <f t="shared" si="4"/>
        <v>27</v>
      </c>
      <c r="O32" s="204">
        <f t="shared" si="5"/>
        <v>3</v>
      </c>
      <c r="P32" s="204">
        <f t="shared" si="6"/>
        <v>66</v>
      </c>
    </row>
    <row r="33" spans="1:16" ht="25.5">
      <c r="A33" s="251" t="s">
        <v>840</v>
      </c>
      <c r="B33" s="251"/>
      <c r="C33" s="195" t="s">
        <v>839</v>
      </c>
      <c r="D33" s="257" t="s">
        <v>710</v>
      </c>
      <c r="E33" s="156">
        <v>13</v>
      </c>
      <c r="F33" s="202">
        <v>2</v>
      </c>
      <c r="G33" s="203">
        <v>6</v>
      </c>
      <c r="H33" s="204">
        <f t="shared" si="0"/>
        <v>12</v>
      </c>
      <c r="I33" s="205">
        <v>12</v>
      </c>
      <c r="J33" s="206">
        <v>0.3</v>
      </c>
      <c r="K33" s="207">
        <f t="shared" si="1"/>
        <v>24.3</v>
      </c>
      <c r="L33" s="204">
        <f t="shared" si="2"/>
        <v>26</v>
      </c>
      <c r="M33" s="207">
        <f t="shared" si="3"/>
        <v>156</v>
      </c>
      <c r="N33" s="204">
        <f t="shared" si="4"/>
        <v>156</v>
      </c>
      <c r="O33" s="204">
        <f t="shared" si="5"/>
        <v>3.9</v>
      </c>
      <c r="P33" s="204">
        <f t="shared" si="6"/>
        <v>315.89999999999998</v>
      </c>
    </row>
    <row r="34" spans="1:16" ht="25.5">
      <c r="A34" s="251" t="s">
        <v>842</v>
      </c>
      <c r="B34" s="251"/>
      <c r="C34" s="195" t="s">
        <v>841</v>
      </c>
      <c r="D34" s="257" t="s">
        <v>710</v>
      </c>
      <c r="E34" s="156">
        <v>1</v>
      </c>
      <c r="F34" s="202">
        <v>2</v>
      </c>
      <c r="G34" s="203">
        <v>6</v>
      </c>
      <c r="H34" s="204">
        <f t="shared" si="0"/>
        <v>12</v>
      </c>
      <c r="I34" s="205">
        <v>13</v>
      </c>
      <c r="J34" s="206">
        <v>0.3</v>
      </c>
      <c r="K34" s="207">
        <f t="shared" si="1"/>
        <v>25.3</v>
      </c>
      <c r="L34" s="204">
        <f t="shared" si="2"/>
        <v>2</v>
      </c>
      <c r="M34" s="207">
        <f t="shared" si="3"/>
        <v>12</v>
      </c>
      <c r="N34" s="204">
        <f t="shared" si="4"/>
        <v>13</v>
      </c>
      <c r="O34" s="204">
        <f t="shared" si="5"/>
        <v>0.3</v>
      </c>
      <c r="P34" s="204">
        <f t="shared" si="6"/>
        <v>25.3</v>
      </c>
    </row>
    <row r="35" spans="1:16" ht="25.5">
      <c r="A35" s="251" t="s">
        <v>843</v>
      </c>
      <c r="B35" s="251"/>
      <c r="C35" s="195" t="s">
        <v>1028</v>
      </c>
      <c r="D35" s="257" t="s">
        <v>710</v>
      </c>
      <c r="E35" s="156">
        <v>1</v>
      </c>
      <c r="F35" s="202">
        <f>7/5</f>
        <v>1.4</v>
      </c>
      <c r="G35" s="203">
        <v>6</v>
      </c>
      <c r="H35" s="204">
        <f t="shared" si="0"/>
        <v>8.4</v>
      </c>
      <c r="I35" s="205">
        <v>6</v>
      </c>
      <c r="J35" s="206">
        <v>0.3</v>
      </c>
      <c r="K35" s="207">
        <f t="shared" si="1"/>
        <v>14.7</v>
      </c>
      <c r="L35" s="204">
        <f t="shared" si="2"/>
        <v>1.4</v>
      </c>
      <c r="M35" s="207">
        <f t="shared" si="3"/>
        <v>8.4</v>
      </c>
      <c r="N35" s="204">
        <f t="shared" si="4"/>
        <v>6</v>
      </c>
      <c r="O35" s="204">
        <f t="shared" si="5"/>
        <v>0.3</v>
      </c>
      <c r="P35" s="204">
        <f t="shared" si="6"/>
        <v>14.7</v>
      </c>
    </row>
    <row r="36" spans="1:16" ht="25.5">
      <c r="A36" s="251" t="s">
        <v>845</v>
      </c>
      <c r="B36" s="251"/>
      <c r="C36" s="195" t="s">
        <v>844</v>
      </c>
      <c r="D36" s="257" t="s">
        <v>710</v>
      </c>
      <c r="E36" s="156">
        <v>4</v>
      </c>
      <c r="F36" s="202">
        <v>2</v>
      </c>
      <c r="G36" s="203">
        <v>6</v>
      </c>
      <c r="H36" s="204">
        <f t="shared" si="0"/>
        <v>12</v>
      </c>
      <c r="I36" s="205">
        <v>10</v>
      </c>
      <c r="J36" s="206">
        <v>0.3</v>
      </c>
      <c r="K36" s="207">
        <f t="shared" si="1"/>
        <v>22.3</v>
      </c>
      <c r="L36" s="204">
        <f t="shared" si="2"/>
        <v>8</v>
      </c>
      <c r="M36" s="207">
        <f t="shared" si="3"/>
        <v>48</v>
      </c>
      <c r="N36" s="204">
        <f t="shared" si="4"/>
        <v>40</v>
      </c>
      <c r="O36" s="204">
        <f t="shared" si="5"/>
        <v>1.2</v>
      </c>
      <c r="P36" s="204">
        <f t="shared" si="6"/>
        <v>89.2</v>
      </c>
    </row>
    <row r="37" spans="1:16" ht="25.5">
      <c r="A37" s="251" t="s">
        <v>847</v>
      </c>
      <c r="B37" s="251"/>
      <c r="C37" s="195" t="s">
        <v>846</v>
      </c>
      <c r="D37" s="257" t="s">
        <v>710</v>
      </c>
      <c r="E37" s="156">
        <v>9</v>
      </c>
      <c r="F37" s="202">
        <v>1.4</v>
      </c>
      <c r="G37" s="203">
        <v>6</v>
      </c>
      <c r="H37" s="204">
        <f t="shared" si="0"/>
        <v>8.4</v>
      </c>
      <c r="I37" s="205">
        <v>5.5</v>
      </c>
      <c r="J37" s="206">
        <v>0.3</v>
      </c>
      <c r="K37" s="207">
        <f t="shared" si="1"/>
        <v>14.2</v>
      </c>
      <c r="L37" s="204">
        <f t="shared" si="2"/>
        <v>12.6</v>
      </c>
      <c r="M37" s="207">
        <f t="shared" si="3"/>
        <v>75.599999999999994</v>
      </c>
      <c r="N37" s="204">
        <f t="shared" si="4"/>
        <v>49.5</v>
      </c>
      <c r="O37" s="204">
        <f t="shared" si="5"/>
        <v>2.7</v>
      </c>
      <c r="P37" s="204">
        <f t="shared" si="6"/>
        <v>127.8</v>
      </c>
    </row>
    <row r="38" spans="1:16" ht="25.5">
      <c r="A38" s="251" t="s">
        <v>849</v>
      </c>
      <c r="B38" s="251"/>
      <c r="C38" s="195" t="s">
        <v>848</v>
      </c>
      <c r="D38" s="257" t="s">
        <v>710</v>
      </c>
      <c r="E38" s="156">
        <v>6</v>
      </c>
      <c r="F38" s="202">
        <v>1.4</v>
      </c>
      <c r="G38" s="203">
        <v>6</v>
      </c>
      <c r="H38" s="204">
        <f t="shared" si="0"/>
        <v>8.4</v>
      </c>
      <c r="I38" s="205">
        <v>5.8</v>
      </c>
      <c r="J38" s="206">
        <v>0.3</v>
      </c>
      <c r="K38" s="207">
        <f t="shared" si="1"/>
        <v>14.5</v>
      </c>
      <c r="L38" s="204">
        <f t="shared" si="2"/>
        <v>8.4</v>
      </c>
      <c r="M38" s="207">
        <f t="shared" si="3"/>
        <v>50.4</v>
      </c>
      <c r="N38" s="204">
        <f t="shared" si="4"/>
        <v>34.799999999999997</v>
      </c>
      <c r="O38" s="204">
        <f t="shared" si="5"/>
        <v>1.8</v>
      </c>
      <c r="P38" s="204">
        <f t="shared" si="6"/>
        <v>87</v>
      </c>
    </row>
    <row r="39" spans="1:16" ht="25.5">
      <c r="A39" s="251" t="s">
        <v>851</v>
      </c>
      <c r="B39" s="251"/>
      <c r="C39" s="195" t="s">
        <v>850</v>
      </c>
      <c r="D39" s="257" t="s">
        <v>797</v>
      </c>
      <c r="E39" s="156">
        <v>1</v>
      </c>
      <c r="F39" s="202">
        <v>2</v>
      </c>
      <c r="G39" s="203">
        <v>6</v>
      </c>
      <c r="H39" s="204">
        <f t="shared" si="0"/>
        <v>12</v>
      </c>
      <c r="I39" s="205">
        <v>6.2</v>
      </c>
      <c r="J39" s="206">
        <v>0.3</v>
      </c>
      <c r="K39" s="207">
        <f t="shared" si="1"/>
        <v>18.5</v>
      </c>
      <c r="L39" s="204">
        <f t="shared" si="2"/>
        <v>2</v>
      </c>
      <c r="M39" s="207">
        <f t="shared" si="3"/>
        <v>12</v>
      </c>
      <c r="N39" s="204">
        <f t="shared" si="4"/>
        <v>6.2</v>
      </c>
      <c r="O39" s="204">
        <f t="shared" si="5"/>
        <v>0.3</v>
      </c>
      <c r="P39" s="204">
        <f t="shared" si="6"/>
        <v>18.5</v>
      </c>
    </row>
    <row r="40" spans="1:16" ht="25.5">
      <c r="A40" s="251" t="s">
        <v>853</v>
      </c>
      <c r="B40" s="251"/>
      <c r="C40" s="195" t="s">
        <v>852</v>
      </c>
      <c r="D40" s="257" t="s">
        <v>797</v>
      </c>
      <c r="E40" s="156">
        <v>1</v>
      </c>
      <c r="F40" s="202">
        <v>2</v>
      </c>
      <c r="G40" s="203">
        <v>6</v>
      </c>
      <c r="H40" s="204">
        <f t="shared" si="0"/>
        <v>12</v>
      </c>
      <c r="I40" s="205">
        <v>25</v>
      </c>
      <c r="J40" s="206">
        <v>0.3</v>
      </c>
      <c r="K40" s="207">
        <f t="shared" si="1"/>
        <v>37.299999999999997</v>
      </c>
      <c r="L40" s="204">
        <f t="shared" si="2"/>
        <v>2</v>
      </c>
      <c r="M40" s="207">
        <f t="shared" si="3"/>
        <v>12</v>
      </c>
      <c r="N40" s="204">
        <f t="shared" si="4"/>
        <v>25</v>
      </c>
      <c r="O40" s="204">
        <f t="shared" si="5"/>
        <v>0.3</v>
      </c>
      <c r="P40" s="204">
        <f t="shared" si="6"/>
        <v>37.299999999999997</v>
      </c>
    </row>
    <row r="41" spans="1:16" ht="38.25">
      <c r="A41" s="258" t="s">
        <v>854</v>
      </c>
      <c r="B41" s="258"/>
      <c r="C41" s="259" t="s">
        <v>1056</v>
      </c>
      <c r="D41" s="260" t="s">
        <v>710</v>
      </c>
      <c r="E41" s="261">
        <v>3</v>
      </c>
      <c r="F41" s="202">
        <f>8/5</f>
        <v>1.6</v>
      </c>
      <c r="G41" s="203">
        <v>6</v>
      </c>
      <c r="H41" s="204">
        <f t="shared" si="0"/>
        <v>9.6</v>
      </c>
      <c r="I41" s="205">
        <v>20</v>
      </c>
      <c r="J41" s="206">
        <v>0.3</v>
      </c>
      <c r="K41" s="207">
        <f t="shared" si="1"/>
        <v>29.9</v>
      </c>
      <c r="L41" s="204">
        <f t="shared" si="2"/>
        <v>4.8</v>
      </c>
      <c r="M41" s="207">
        <f t="shared" si="3"/>
        <v>28.8</v>
      </c>
      <c r="N41" s="204">
        <f t="shared" si="4"/>
        <v>60</v>
      </c>
      <c r="O41" s="204">
        <f t="shared" si="5"/>
        <v>0.9</v>
      </c>
      <c r="P41" s="204">
        <f t="shared" si="6"/>
        <v>89.7</v>
      </c>
    </row>
    <row r="42" spans="1:16" ht="25.5">
      <c r="A42" s="258" t="s">
        <v>855</v>
      </c>
      <c r="B42" s="258"/>
      <c r="C42" s="259" t="s">
        <v>1062</v>
      </c>
      <c r="D42" s="260" t="s">
        <v>710</v>
      </c>
      <c r="E42" s="261">
        <v>1</v>
      </c>
      <c r="F42" s="202">
        <f t="shared" ref="F42:F48" si="8">8/5</f>
        <v>1.6</v>
      </c>
      <c r="G42" s="203">
        <v>6</v>
      </c>
      <c r="H42" s="204">
        <f t="shared" si="0"/>
        <v>9.6</v>
      </c>
      <c r="I42" s="205">
        <v>18</v>
      </c>
      <c r="J42" s="206">
        <v>0.3</v>
      </c>
      <c r="K42" s="207">
        <f t="shared" si="1"/>
        <v>27.9</v>
      </c>
      <c r="L42" s="204">
        <f t="shared" si="2"/>
        <v>1.6</v>
      </c>
      <c r="M42" s="207">
        <f t="shared" si="3"/>
        <v>9.6</v>
      </c>
      <c r="N42" s="204">
        <f t="shared" si="4"/>
        <v>18</v>
      </c>
      <c r="O42" s="204">
        <f t="shared" si="5"/>
        <v>0.3</v>
      </c>
      <c r="P42" s="204">
        <f t="shared" si="6"/>
        <v>27.9</v>
      </c>
    </row>
    <row r="43" spans="1:16" ht="25.5">
      <c r="A43" s="258" t="s">
        <v>856</v>
      </c>
      <c r="B43" s="258"/>
      <c r="C43" s="259" t="s">
        <v>1061</v>
      </c>
      <c r="D43" s="260" t="s">
        <v>710</v>
      </c>
      <c r="E43" s="261">
        <v>3</v>
      </c>
      <c r="F43" s="202">
        <f t="shared" si="8"/>
        <v>1.6</v>
      </c>
      <c r="G43" s="203">
        <v>6</v>
      </c>
      <c r="H43" s="204">
        <f t="shared" si="0"/>
        <v>9.6</v>
      </c>
      <c r="I43" s="205">
        <v>18</v>
      </c>
      <c r="J43" s="206">
        <v>0.3</v>
      </c>
      <c r="K43" s="207">
        <f t="shared" si="1"/>
        <v>27.9</v>
      </c>
      <c r="L43" s="204">
        <f t="shared" si="2"/>
        <v>4.8</v>
      </c>
      <c r="M43" s="207">
        <f t="shared" si="3"/>
        <v>28.8</v>
      </c>
      <c r="N43" s="204">
        <f t="shared" si="4"/>
        <v>54</v>
      </c>
      <c r="O43" s="204">
        <f t="shared" si="5"/>
        <v>0.9</v>
      </c>
      <c r="P43" s="204">
        <f t="shared" si="6"/>
        <v>83.7</v>
      </c>
    </row>
    <row r="44" spans="1:16" ht="25.5">
      <c r="A44" s="258" t="s">
        <v>857</v>
      </c>
      <c r="B44" s="258"/>
      <c r="C44" s="259" t="s">
        <v>1057</v>
      </c>
      <c r="D44" s="260" t="s">
        <v>710</v>
      </c>
      <c r="E44" s="261">
        <v>1</v>
      </c>
      <c r="F44" s="202">
        <f t="shared" si="8"/>
        <v>1.6</v>
      </c>
      <c r="G44" s="203">
        <v>6</v>
      </c>
      <c r="H44" s="204">
        <f t="shared" si="0"/>
        <v>9.6</v>
      </c>
      <c r="I44" s="205">
        <v>15</v>
      </c>
      <c r="J44" s="206">
        <v>0.3</v>
      </c>
      <c r="K44" s="207">
        <f t="shared" si="1"/>
        <v>24.9</v>
      </c>
      <c r="L44" s="204">
        <f t="shared" si="2"/>
        <v>1.6</v>
      </c>
      <c r="M44" s="207">
        <f t="shared" si="3"/>
        <v>9.6</v>
      </c>
      <c r="N44" s="204">
        <f t="shared" si="4"/>
        <v>15</v>
      </c>
      <c r="O44" s="204">
        <f t="shared" si="5"/>
        <v>0.3</v>
      </c>
      <c r="P44" s="204">
        <f t="shared" si="6"/>
        <v>24.9</v>
      </c>
    </row>
    <row r="45" spans="1:16" ht="25.5">
      <c r="A45" s="258" t="s">
        <v>858</v>
      </c>
      <c r="B45" s="258"/>
      <c r="C45" s="259" t="s">
        <v>1058</v>
      </c>
      <c r="D45" s="260" t="s">
        <v>710</v>
      </c>
      <c r="E45" s="261">
        <v>9</v>
      </c>
      <c r="F45" s="202">
        <f t="shared" si="8"/>
        <v>1.6</v>
      </c>
      <c r="G45" s="203">
        <v>6</v>
      </c>
      <c r="H45" s="204">
        <f t="shared" si="0"/>
        <v>9.6</v>
      </c>
      <c r="I45" s="205">
        <v>15</v>
      </c>
      <c r="J45" s="206">
        <v>0.3</v>
      </c>
      <c r="K45" s="207">
        <f t="shared" si="1"/>
        <v>24.9</v>
      </c>
      <c r="L45" s="204">
        <f t="shared" si="2"/>
        <v>14.4</v>
      </c>
      <c r="M45" s="207">
        <f t="shared" si="3"/>
        <v>86.4</v>
      </c>
      <c r="N45" s="204">
        <f t="shared" si="4"/>
        <v>135</v>
      </c>
      <c r="O45" s="204">
        <f t="shared" si="5"/>
        <v>2.7</v>
      </c>
      <c r="P45" s="204">
        <f t="shared" si="6"/>
        <v>224.1</v>
      </c>
    </row>
    <row r="46" spans="1:16" ht="38.25">
      <c r="A46" s="258" t="s">
        <v>859</v>
      </c>
      <c r="B46" s="258"/>
      <c r="C46" s="259" t="s">
        <v>1059</v>
      </c>
      <c r="D46" s="260" t="s">
        <v>710</v>
      </c>
      <c r="E46" s="261">
        <v>21</v>
      </c>
      <c r="F46" s="202">
        <f t="shared" si="8"/>
        <v>1.6</v>
      </c>
      <c r="G46" s="203">
        <v>6</v>
      </c>
      <c r="H46" s="204">
        <f t="shared" si="0"/>
        <v>9.6</v>
      </c>
      <c r="I46" s="205">
        <v>33</v>
      </c>
      <c r="J46" s="206">
        <v>0.3</v>
      </c>
      <c r="K46" s="207">
        <f t="shared" si="1"/>
        <v>42.9</v>
      </c>
      <c r="L46" s="204">
        <f t="shared" si="2"/>
        <v>33.6</v>
      </c>
      <c r="M46" s="207">
        <f t="shared" si="3"/>
        <v>201.6</v>
      </c>
      <c r="N46" s="204">
        <f t="shared" si="4"/>
        <v>693</v>
      </c>
      <c r="O46" s="204">
        <f t="shared" si="5"/>
        <v>6.3</v>
      </c>
      <c r="P46" s="204">
        <f t="shared" si="6"/>
        <v>900.9</v>
      </c>
    </row>
    <row r="47" spans="1:16" ht="28.5" customHeight="1">
      <c r="A47" s="258" t="s">
        <v>860</v>
      </c>
      <c r="B47" s="258"/>
      <c r="C47" s="259" t="s">
        <v>1060</v>
      </c>
      <c r="D47" s="260" t="s">
        <v>710</v>
      </c>
      <c r="E47" s="261">
        <v>5</v>
      </c>
      <c r="F47" s="202">
        <f t="shared" si="8"/>
        <v>1.6</v>
      </c>
      <c r="G47" s="203">
        <v>6</v>
      </c>
      <c r="H47" s="204">
        <f t="shared" si="0"/>
        <v>9.6</v>
      </c>
      <c r="I47" s="205">
        <v>22</v>
      </c>
      <c r="J47" s="206">
        <v>0.3</v>
      </c>
      <c r="K47" s="207">
        <f t="shared" si="1"/>
        <v>31.9</v>
      </c>
      <c r="L47" s="204">
        <f t="shared" si="2"/>
        <v>8</v>
      </c>
      <c r="M47" s="207">
        <f t="shared" si="3"/>
        <v>48</v>
      </c>
      <c r="N47" s="204">
        <f t="shared" si="4"/>
        <v>110</v>
      </c>
      <c r="O47" s="204">
        <f t="shared" si="5"/>
        <v>1.5</v>
      </c>
      <c r="P47" s="204">
        <f t="shared" si="6"/>
        <v>159.5</v>
      </c>
    </row>
    <row r="48" spans="1:16" ht="25.5">
      <c r="A48" s="258" t="s">
        <v>862</v>
      </c>
      <c r="B48" s="258"/>
      <c r="C48" s="259" t="s">
        <v>861</v>
      </c>
      <c r="D48" s="260" t="s">
        <v>710</v>
      </c>
      <c r="E48" s="261">
        <v>2</v>
      </c>
      <c r="F48" s="202">
        <f t="shared" si="8"/>
        <v>1.6</v>
      </c>
      <c r="G48" s="203">
        <v>6</v>
      </c>
      <c r="H48" s="204">
        <f t="shared" si="0"/>
        <v>9.6</v>
      </c>
      <c r="I48" s="205">
        <v>26</v>
      </c>
      <c r="J48" s="206">
        <v>0.3</v>
      </c>
      <c r="K48" s="207">
        <f t="shared" si="1"/>
        <v>35.9</v>
      </c>
      <c r="L48" s="204">
        <f t="shared" si="2"/>
        <v>3.2</v>
      </c>
      <c r="M48" s="207">
        <f t="shared" si="3"/>
        <v>19.2</v>
      </c>
      <c r="N48" s="204">
        <f t="shared" si="4"/>
        <v>52</v>
      </c>
      <c r="O48" s="204">
        <f t="shared" si="5"/>
        <v>0.6</v>
      </c>
      <c r="P48" s="204">
        <f t="shared" si="6"/>
        <v>71.8</v>
      </c>
    </row>
    <row r="49" spans="1:16" ht="25.5">
      <c r="A49" s="258" t="s">
        <v>864</v>
      </c>
      <c r="B49" s="258"/>
      <c r="C49" s="259" t="s">
        <v>863</v>
      </c>
      <c r="D49" s="260" t="s">
        <v>710</v>
      </c>
      <c r="E49" s="261">
        <v>6</v>
      </c>
      <c r="F49" s="202">
        <v>2</v>
      </c>
      <c r="G49" s="203">
        <v>6</v>
      </c>
      <c r="H49" s="204">
        <f t="shared" si="0"/>
        <v>12</v>
      </c>
      <c r="I49" s="205">
        <v>90</v>
      </c>
      <c r="J49" s="206">
        <v>0.3</v>
      </c>
      <c r="K49" s="207">
        <f t="shared" si="1"/>
        <v>102.3</v>
      </c>
      <c r="L49" s="204">
        <f t="shared" si="2"/>
        <v>12</v>
      </c>
      <c r="M49" s="207">
        <f t="shared" si="3"/>
        <v>72</v>
      </c>
      <c r="N49" s="204">
        <f t="shared" si="4"/>
        <v>540</v>
      </c>
      <c r="O49" s="204">
        <f t="shared" si="5"/>
        <v>1.8</v>
      </c>
      <c r="P49" s="204">
        <f t="shared" si="6"/>
        <v>613.79999999999995</v>
      </c>
    </row>
    <row r="50" spans="1:16">
      <c r="A50" s="251" t="s">
        <v>866</v>
      </c>
      <c r="B50" s="251"/>
      <c r="C50" s="195" t="s">
        <v>865</v>
      </c>
      <c r="D50" s="257" t="s">
        <v>802</v>
      </c>
      <c r="E50" s="156">
        <v>40</v>
      </c>
      <c r="F50" s="202">
        <v>0.6</v>
      </c>
      <c r="G50" s="203">
        <v>6</v>
      </c>
      <c r="H50" s="204">
        <f t="shared" si="0"/>
        <v>3.6</v>
      </c>
      <c r="I50" s="205">
        <v>17</v>
      </c>
      <c r="J50" s="206">
        <v>0.1</v>
      </c>
      <c r="K50" s="207">
        <f t="shared" si="1"/>
        <v>20.7</v>
      </c>
      <c r="L50" s="204">
        <f t="shared" si="2"/>
        <v>24</v>
      </c>
      <c r="M50" s="207">
        <f t="shared" si="3"/>
        <v>144</v>
      </c>
      <c r="N50" s="204">
        <f t="shared" si="4"/>
        <v>680</v>
      </c>
      <c r="O50" s="204">
        <f t="shared" si="5"/>
        <v>4</v>
      </c>
      <c r="P50" s="204">
        <f t="shared" si="6"/>
        <v>828</v>
      </c>
    </row>
    <row r="51" spans="1:16">
      <c r="A51" s="251" t="s">
        <v>868</v>
      </c>
      <c r="B51" s="251"/>
      <c r="C51" s="195" t="s">
        <v>867</v>
      </c>
      <c r="D51" s="257" t="s">
        <v>802</v>
      </c>
      <c r="E51" s="156">
        <v>30</v>
      </c>
      <c r="F51" s="202">
        <v>0.2</v>
      </c>
      <c r="G51" s="203">
        <v>6</v>
      </c>
      <c r="H51" s="204">
        <f t="shared" si="0"/>
        <v>1.2</v>
      </c>
      <c r="I51" s="205">
        <v>1.26</v>
      </c>
      <c r="J51" s="206">
        <v>0.1</v>
      </c>
      <c r="K51" s="207">
        <f t="shared" si="1"/>
        <v>2.56</v>
      </c>
      <c r="L51" s="204">
        <f t="shared" si="2"/>
        <v>6</v>
      </c>
      <c r="M51" s="207">
        <f t="shared" si="3"/>
        <v>36</v>
      </c>
      <c r="N51" s="204">
        <f t="shared" si="4"/>
        <v>37.799999999999997</v>
      </c>
      <c r="O51" s="204">
        <f t="shared" si="5"/>
        <v>3</v>
      </c>
      <c r="P51" s="204">
        <f t="shared" si="6"/>
        <v>76.8</v>
      </c>
    </row>
    <row r="52" spans="1:16">
      <c r="A52" s="251" t="s">
        <v>870</v>
      </c>
      <c r="B52" s="251"/>
      <c r="C52" s="195" t="s">
        <v>869</v>
      </c>
      <c r="D52" s="257" t="s">
        <v>802</v>
      </c>
      <c r="E52" s="156">
        <v>165</v>
      </c>
      <c r="F52" s="202">
        <v>0.2</v>
      </c>
      <c r="G52" s="203">
        <v>6</v>
      </c>
      <c r="H52" s="204">
        <f t="shared" si="0"/>
        <v>1.2</v>
      </c>
      <c r="I52" s="205">
        <v>0.76</v>
      </c>
      <c r="J52" s="206">
        <v>0.1</v>
      </c>
      <c r="K52" s="207">
        <f t="shared" si="1"/>
        <v>2.06</v>
      </c>
      <c r="L52" s="204">
        <f t="shared" si="2"/>
        <v>33</v>
      </c>
      <c r="M52" s="207">
        <f t="shared" si="3"/>
        <v>198</v>
      </c>
      <c r="N52" s="204">
        <f t="shared" si="4"/>
        <v>125.4</v>
      </c>
      <c r="O52" s="204">
        <f t="shared" si="5"/>
        <v>16.5</v>
      </c>
      <c r="P52" s="204">
        <f t="shared" si="6"/>
        <v>339.9</v>
      </c>
    </row>
    <row r="53" spans="1:16">
      <c r="A53" s="251" t="s">
        <v>872</v>
      </c>
      <c r="B53" s="251"/>
      <c r="C53" s="195" t="s">
        <v>871</v>
      </c>
      <c r="D53" s="257" t="s">
        <v>802</v>
      </c>
      <c r="E53" s="156">
        <v>390</v>
      </c>
      <c r="F53" s="202">
        <v>0.2</v>
      </c>
      <c r="G53" s="203">
        <v>6</v>
      </c>
      <c r="H53" s="204">
        <f t="shared" si="0"/>
        <v>1.2</v>
      </c>
      <c r="I53" s="205">
        <v>0.46</v>
      </c>
      <c r="J53" s="206">
        <v>0.1</v>
      </c>
      <c r="K53" s="207">
        <f t="shared" si="1"/>
        <v>1.76</v>
      </c>
      <c r="L53" s="204">
        <f t="shared" si="2"/>
        <v>78</v>
      </c>
      <c r="M53" s="207">
        <f t="shared" si="3"/>
        <v>468</v>
      </c>
      <c r="N53" s="204">
        <f t="shared" si="4"/>
        <v>179.4</v>
      </c>
      <c r="O53" s="204">
        <f t="shared" si="5"/>
        <v>39</v>
      </c>
      <c r="P53" s="204">
        <f t="shared" si="6"/>
        <v>686.4</v>
      </c>
    </row>
    <row r="54" spans="1:16">
      <c r="A54" s="251" t="s">
        <v>874</v>
      </c>
      <c r="B54" s="251"/>
      <c r="C54" s="195" t="s">
        <v>873</v>
      </c>
      <c r="D54" s="257" t="s">
        <v>802</v>
      </c>
      <c r="E54" s="156">
        <v>65</v>
      </c>
      <c r="F54" s="202">
        <v>0.2</v>
      </c>
      <c r="G54" s="203">
        <v>6</v>
      </c>
      <c r="H54" s="204">
        <f t="shared" si="0"/>
        <v>1.2</v>
      </c>
      <c r="I54" s="205">
        <v>1.04</v>
      </c>
      <c r="J54" s="206">
        <v>0.1</v>
      </c>
      <c r="K54" s="207">
        <f t="shared" si="1"/>
        <v>2.34</v>
      </c>
      <c r="L54" s="204">
        <f t="shared" si="2"/>
        <v>13</v>
      </c>
      <c r="M54" s="207">
        <f t="shared" si="3"/>
        <v>78</v>
      </c>
      <c r="N54" s="204">
        <f t="shared" si="4"/>
        <v>67.599999999999994</v>
      </c>
      <c r="O54" s="204">
        <f t="shared" si="5"/>
        <v>6.5</v>
      </c>
      <c r="P54" s="204">
        <f t="shared" si="6"/>
        <v>152.1</v>
      </c>
    </row>
    <row r="55" spans="1:16">
      <c r="A55" s="251" t="s">
        <v>876</v>
      </c>
      <c r="B55" s="251"/>
      <c r="C55" s="194" t="s">
        <v>1029</v>
      </c>
      <c r="D55" s="257" t="s">
        <v>802</v>
      </c>
      <c r="E55" s="156">
        <v>80</v>
      </c>
      <c r="F55" s="202">
        <v>0.2</v>
      </c>
      <c r="G55" s="203">
        <v>6</v>
      </c>
      <c r="H55" s="204">
        <f t="shared" si="0"/>
        <v>1.2</v>
      </c>
      <c r="I55" s="205">
        <v>0.44</v>
      </c>
      <c r="J55" s="206">
        <v>0.1</v>
      </c>
      <c r="K55" s="207">
        <f t="shared" si="1"/>
        <v>1.74</v>
      </c>
      <c r="L55" s="204">
        <f t="shared" si="2"/>
        <v>16</v>
      </c>
      <c r="M55" s="207">
        <f t="shared" si="3"/>
        <v>96</v>
      </c>
      <c r="N55" s="204">
        <f t="shared" si="4"/>
        <v>35.200000000000003</v>
      </c>
      <c r="O55" s="204">
        <f t="shared" si="5"/>
        <v>8</v>
      </c>
      <c r="P55" s="204">
        <f t="shared" si="6"/>
        <v>139.19999999999999</v>
      </c>
    </row>
    <row r="56" spans="1:16" ht="25.5">
      <c r="A56" s="251" t="s">
        <v>878</v>
      </c>
      <c r="B56" s="251"/>
      <c r="C56" s="195" t="s">
        <v>875</v>
      </c>
      <c r="D56" s="257" t="s">
        <v>802</v>
      </c>
      <c r="E56" s="156">
        <v>15</v>
      </c>
      <c r="F56" s="202">
        <v>0.3</v>
      </c>
      <c r="G56" s="203">
        <v>6</v>
      </c>
      <c r="H56" s="204">
        <f t="shared" si="0"/>
        <v>1.8</v>
      </c>
      <c r="I56" s="205">
        <v>0.39</v>
      </c>
      <c r="J56" s="206">
        <v>0.1</v>
      </c>
      <c r="K56" s="207">
        <f t="shared" si="1"/>
        <v>2.29</v>
      </c>
      <c r="L56" s="204">
        <f t="shared" si="2"/>
        <v>4.5</v>
      </c>
      <c r="M56" s="207">
        <f t="shared" si="3"/>
        <v>27</v>
      </c>
      <c r="N56" s="204">
        <f t="shared" si="4"/>
        <v>5.85</v>
      </c>
      <c r="O56" s="204">
        <f t="shared" si="5"/>
        <v>1.5</v>
      </c>
      <c r="P56" s="204">
        <f t="shared" si="6"/>
        <v>34.35</v>
      </c>
    </row>
    <row r="57" spans="1:16" ht="25.5">
      <c r="A57" s="251" t="s">
        <v>880</v>
      </c>
      <c r="B57" s="251"/>
      <c r="C57" s="195" t="s">
        <v>877</v>
      </c>
      <c r="D57" s="257" t="s">
        <v>802</v>
      </c>
      <c r="E57" s="156">
        <v>40</v>
      </c>
      <c r="F57" s="202">
        <v>0.2</v>
      </c>
      <c r="G57" s="203">
        <v>6</v>
      </c>
      <c r="H57" s="204">
        <f t="shared" si="0"/>
        <v>1.2</v>
      </c>
      <c r="I57" s="205">
        <v>4.38</v>
      </c>
      <c r="J57" s="206">
        <v>0.1</v>
      </c>
      <c r="K57" s="207">
        <f t="shared" si="1"/>
        <v>5.68</v>
      </c>
      <c r="L57" s="204">
        <f t="shared" si="2"/>
        <v>8</v>
      </c>
      <c r="M57" s="207">
        <f t="shared" si="3"/>
        <v>48</v>
      </c>
      <c r="N57" s="204">
        <f t="shared" si="4"/>
        <v>175.2</v>
      </c>
      <c r="O57" s="204">
        <f t="shared" si="5"/>
        <v>4</v>
      </c>
      <c r="P57" s="204">
        <f t="shared" si="6"/>
        <v>227.2</v>
      </c>
    </row>
    <row r="58" spans="1:16" ht="25.5">
      <c r="A58" s="251" t="s">
        <v>882</v>
      </c>
      <c r="B58" s="251"/>
      <c r="C58" s="195" t="s">
        <v>879</v>
      </c>
      <c r="D58" s="257" t="s">
        <v>802</v>
      </c>
      <c r="E58" s="156">
        <v>200</v>
      </c>
      <c r="F58" s="202">
        <v>0.1</v>
      </c>
      <c r="G58" s="203">
        <v>6</v>
      </c>
      <c r="H58" s="204">
        <f t="shared" si="0"/>
        <v>0.6</v>
      </c>
      <c r="I58" s="205">
        <v>1.28</v>
      </c>
      <c r="J58" s="206">
        <v>0.1</v>
      </c>
      <c r="K58" s="207">
        <f t="shared" si="1"/>
        <v>1.98</v>
      </c>
      <c r="L58" s="204">
        <f t="shared" si="2"/>
        <v>20</v>
      </c>
      <c r="M58" s="207">
        <f t="shared" si="3"/>
        <v>120</v>
      </c>
      <c r="N58" s="204">
        <f t="shared" si="4"/>
        <v>256</v>
      </c>
      <c r="O58" s="204">
        <f t="shared" si="5"/>
        <v>20</v>
      </c>
      <c r="P58" s="204">
        <f t="shared" si="6"/>
        <v>396</v>
      </c>
    </row>
    <row r="59" spans="1:16" ht="25.5">
      <c r="A59" s="251" t="s">
        <v>1033</v>
      </c>
      <c r="B59" s="251"/>
      <c r="C59" s="195" t="s">
        <v>881</v>
      </c>
      <c r="D59" s="257" t="s">
        <v>802</v>
      </c>
      <c r="E59" s="156">
        <v>250</v>
      </c>
      <c r="F59" s="202">
        <v>0.1</v>
      </c>
      <c r="G59" s="203">
        <v>6</v>
      </c>
      <c r="H59" s="204">
        <f t="shared" si="0"/>
        <v>0.6</v>
      </c>
      <c r="I59" s="205">
        <v>0.48</v>
      </c>
      <c r="J59" s="206">
        <v>0.1</v>
      </c>
      <c r="K59" s="207">
        <f t="shared" si="1"/>
        <v>1.18</v>
      </c>
      <c r="L59" s="204">
        <f t="shared" si="2"/>
        <v>25</v>
      </c>
      <c r="M59" s="207">
        <f t="shared" si="3"/>
        <v>150</v>
      </c>
      <c r="N59" s="204">
        <f t="shared" si="4"/>
        <v>120</v>
      </c>
      <c r="O59" s="204">
        <f t="shared" si="5"/>
        <v>25</v>
      </c>
      <c r="P59" s="204">
        <f t="shared" si="6"/>
        <v>295</v>
      </c>
    </row>
    <row r="60" spans="1:16">
      <c r="A60" s="251" t="s">
        <v>1034</v>
      </c>
      <c r="B60" s="251"/>
      <c r="C60" s="195" t="s">
        <v>1030</v>
      </c>
      <c r="D60" s="257" t="s">
        <v>802</v>
      </c>
      <c r="E60" s="156">
        <v>100</v>
      </c>
      <c r="F60" s="202">
        <v>0.2</v>
      </c>
      <c r="G60" s="203">
        <v>6</v>
      </c>
      <c r="H60" s="204">
        <f t="shared" si="0"/>
        <v>1.2</v>
      </c>
      <c r="I60" s="205">
        <v>2.57</v>
      </c>
      <c r="J60" s="206">
        <v>0.1</v>
      </c>
      <c r="K60" s="207">
        <f t="shared" si="1"/>
        <v>3.87</v>
      </c>
      <c r="L60" s="204">
        <f t="shared" si="2"/>
        <v>20</v>
      </c>
      <c r="M60" s="207">
        <f t="shared" si="3"/>
        <v>120</v>
      </c>
      <c r="N60" s="204">
        <f t="shared" si="4"/>
        <v>257</v>
      </c>
      <c r="O60" s="204">
        <f t="shared" si="5"/>
        <v>10</v>
      </c>
      <c r="P60" s="204">
        <f t="shared" si="6"/>
        <v>387</v>
      </c>
    </row>
    <row r="61" spans="1:16">
      <c r="A61" s="251" t="s">
        <v>1035</v>
      </c>
      <c r="B61" s="251"/>
      <c r="C61" s="195" t="s">
        <v>883</v>
      </c>
      <c r="D61" s="257" t="s">
        <v>710</v>
      </c>
      <c r="E61" s="156">
        <v>1</v>
      </c>
      <c r="F61" s="202">
        <v>10</v>
      </c>
      <c r="G61" s="203">
        <v>6</v>
      </c>
      <c r="H61" s="204">
        <f t="shared" si="0"/>
        <v>60</v>
      </c>
      <c r="I61" s="205">
        <v>30</v>
      </c>
      <c r="J61" s="206">
        <v>5</v>
      </c>
      <c r="K61" s="207">
        <f t="shared" si="1"/>
        <v>95</v>
      </c>
      <c r="L61" s="204">
        <f t="shared" si="2"/>
        <v>10</v>
      </c>
      <c r="M61" s="207">
        <f t="shared" si="3"/>
        <v>60</v>
      </c>
      <c r="N61" s="204">
        <f t="shared" si="4"/>
        <v>30</v>
      </c>
      <c r="O61" s="204">
        <f t="shared" si="5"/>
        <v>5</v>
      </c>
      <c r="P61" s="204">
        <f t="shared" si="6"/>
        <v>95</v>
      </c>
    </row>
    <row r="62" spans="1:16">
      <c r="A62" s="262" t="s">
        <v>884</v>
      </c>
      <c r="B62" s="262"/>
      <c r="C62" s="235" t="s">
        <v>885</v>
      </c>
      <c r="D62" s="257"/>
      <c r="E62" s="156"/>
      <c r="F62" s="202"/>
      <c r="G62" s="203">
        <v>6</v>
      </c>
      <c r="H62" s="204">
        <f t="shared" si="0"/>
        <v>0</v>
      </c>
      <c r="I62" s="205"/>
      <c r="J62" s="206"/>
      <c r="K62" s="207">
        <f t="shared" si="1"/>
        <v>0</v>
      </c>
      <c r="L62" s="204">
        <f t="shared" si="2"/>
        <v>0</v>
      </c>
      <c r="M62" s="207">
        <f t="shared" si="3"/>
        <v>0</v>
      </c>
      <c r="N62" s="204">
        <f t="shared" si="4"/>
        <v>0</v>
      </c>
      <c r="O62" s="204">
        <f t="shared" si="5"/>
        <v>0</v>
      </c>
      <c r="P62" s="204">
        <f t="shared" si="6"/>
        <v>0</v>
      </c>
    </row>
    <row r="63" spans="1:16" ht="25.5">
      <c r="A63" s="251" t="s">
        <v>888</v>
      </c>
      <c r="B63" s="251"/>
      <c r="C63" s="2" t="s">
        <v>886</v>
      </c>
      <c r="D63" s="6" t="s">
        <v>710</v>
      </c>
      <c r="E63" s="156">
        <v>4</v>
      </c>
      <c r="F63" s="202">
        <v>2</v>
      </c>
      <c r="G63" s="203">
        <v>6</v>
      </c>
      <c r="H63" s="204">
        <f t="shared" si="0"/>
        <v>12</v>
      </c>
      <c r="I63" s="205">
        <v>20</v>
      </c>
      <c r="J63" s="206">
        <v>1</v>
      </c>
      <c r="K63" s="207">
        <f t="shared" si="1"/>
        <v>33</v>
      </c>
      <c r="L63" s="204">
        <f t="shared" si="2"/>
        <v>8</v>
      </c>
      <c r="M63" s="207">
        <f t="shared" si="3"/>
        <v>48</v>
      </c>
      <c r="N63" s="204">
        <f t="shared" si="4"/>
        <v>80</v>
      </c>
      <c r="O63" s="204">
        <f t="shared" si="5"/>
        <v>4</v>
      </c>
      <c r="P63" s="204">
        <f t="shared" si="6"/>
        <v>132</v>
      </c>
    </row>
    <row r="64" spans="1:16" ht="25.5">
      <c r="A64" s="251" t="s">
        <v>889</v>
      </c>
      <c r="B64" s="251"/>
      <c r="C64" s="2" t="s">
        <v>968</v>
      </c>
      <c r="D64" s="6" t="s">
        <v>0</v>
      </c>
      <c r="E64" s="156">
        <v>110</v>
      </c>
      <c r="F64" s="202">
        <v>0.4</v>
      </c>
      <c r="G64" s="203">
        <v>6</v>
      </c>
      <c r="H64" s="204">
        <f t="shared" si="0"/>
        <v>2.4</v>
      </c>
      <c r="I64" s="205">
        <v>2.2000000000000002</v>
      </c>
      <c r="J64" s="206">
        <v>0.1</v>
      </c>
      <c r="K64" s="207">
        <f t="shared" si="1"/>
        <v>4.7</v>
      </c>
      <c r="L64" s="204">
        <f t="shared" si="2"/>
        <v>44</v>
      </c>
      <c r="M64" s="207">
        <f t="shared" si="3"/>
        <v>264</v>
      </c>
      <c r="N64" s="204">
        <f t="shared" si="4"/>
        <v>242</v>
      </c>
      <c r="O64" s="204">
        <f t="shared" si="5"/>
        <v>11</v>
      </c>
      <c r="P64" s="204">
        <f t="shared" si="6"/>
        <v>517</v>
      </c>
    </row>
    <row r="65" spans="1:16">
      <c r="A65" s="251" t="s">
        <v>891</v>
      </c>
      <c r="B65" s="251"/>
      <c r="C65" s="2" t="s">
        <v>887</v>
      </c>
      <c r="D65" s="6" t="s">
        <v>797</v>
      </c>
      <c r="E65" s="156">
        <v>1</v>
      </c>
      <c r="F65" s="202">
        <v>2</v>
      </c>
      <c r="G65" s="203">
        <v>6</v>
      </c>
      <c r="H65" s="204">
        <f t="shared" si="0"/>
        <v>12</v>
      </c>
      <c r="I65" s="205">
        <v>20</v>
      </c>
      <c r="J65" s="206">
        <v>0.5</v>
      </c>
      <c r="K65" s="207">
        <f t="shared" si="1"/>
        <v>32.5</v>
      </c>
      <c r="L65" s="204">
        <f t="shared" si="2"/>
        <v>2</v>
      </c>
      <c r="M65" s="207">
        <f t="shared" si="3"/>
        <v>12</v>
      </c>
      <c r="N65" s="204">
        <f t="shared" si="4"/>
        <v>20</v>
      </c>
      <c r="O65" s="204">
        <f t="shared" si="5"/>
        <v>0.5</v>
      </c>
      <c r="P65" s="204">
        <f t="shared" si="6"/>
        <v>32.5</v>
      </c>
    </row>
    <row r="66" spans="1:16" ht="38.25">
      <c r="A66" s="251" t="s">
        <v>1036</v>
      </c>
      <c r="B66" s="251"/>
      <c r="C66" s="2" t="s">
        <v>1031</v>
      </c>
      <c r="D66" s="6" t="s">
        <v>802</v>
      </c>
      <c r="E66" s="156">
        <v>70</v>
      </c>
      <c r="F66" s="202">
        <v>0.3</v>
      </c>
      <c r="G66" s="203">
        <v>6</v>
      </c>
      <c r="H66" s="204">
        <f t="shared" si="0"/>
        <v>1.8</v>
      </c>
      <c r="I66" s="205">
        <v>6</v>
      </c>
      <c r="J66" s="206">
        <v>0.1</v>
      </c>
      <c r="K66" s="207">
        <f t="shared" si="1"/>
        <v>7.9</v>
      </c>
      <c r="L66" s="204">
        <f t="shared" si="2"/>
        <v>21</v>
      </c>
      <c r="M66" s="207">
        <f t="shared" si="3"/>
        <v>126</v>
      </c>
      <c r="N66" s="204">
        <f t="shared" si="4"/>
        <v>420</v>
      </c>
      <c r="O66" s="204">
        <f t="shared" si="5"/>
        <v>7</v>
      </c>
      <c r="P66" s="204">
        <f t="shared" si="6"/>
        <v>553</v>
      </c>
    </row>
    <row r="67" spans="1:16">
      <c r="A67" s="251" t="s">
        <v>1037</v>
      </c>
      <c r="B67" s="251"/>
      <c r="C67" s="2" t="s">
        <v>890</v>
      </c>
      <c r="D67" s="6" t="s">
        <v>797</v>
      </c>
      <c r="E67" s="156">
        <v>4</v>
      </c>
      <c r="F67" s="202">
        <v>5</v>
      </c>
      <c r="G67" s="203">
        <v>6</v>
      </c>
      <c r="H67" s="204">
        <f t="shared" si="0"/>
        <v>30</v>
      </c>
      <c r="I67" s="205"/>
      <c r="J67" s="206">
        <v>10</v>
      </c>
      <c r="K67" s="207">
        <f t="shared" si="1"/>
        <v>40</v>
      </c>
      <c r="L67" s="204">
        <f t="shared" si="2"/>
        <v>20</v>
      </c>
      <c r="M67" s="207">
        <f t="shared" si="3"/>
        <v>120</v>
      </c>
      <c r="N67" s="204">
        <f t="shared" si="4"/>
        <v>0</v>
      </c>
      <c r="O67" s="204">
        <f t="shared" si="5"/>
        <v>40</v>
      </c>
      <c r="P67" s="204">
        <f t="shared" si="6"/>
        <v>160</v>
      </c>
    </row>
    <row r="68" spans="1:16" ht="25.5">
      <c r="A68" s="251" t="s">
        <v>1038</v>
      </c>
      <c r="B68" s="251"/>
      <c r="C68" s="2" t="s">
        <v>892</v>
      </c>
      <c r="D68" s="6" t="s">
        <v>0</v>
      </c>
      <c r="E68" s="156">
        <v>4</v>
      </c>
      <c r="F68" s="202">
        <v>0.2</v>
      </c>
      <c r="G68" s="203">
        <v>6</v>
      </c>
      <c r="H68" s="204">
        <f t="shared" si="0"/>
        <v>1.2</v>
      </c>
      <c r="I68" s="205"/>
      <c r="J68" s="206">
        <v>0.1</v>
      </c>
      <c r="K68" s="207">
        <f t="shared" si="1"/>
        <v>1.3</v>
      </c>
      <c r="L68" s="204">
        <f t="shared" si="2"/>
        <v>0.8</v>
      </c>
      <c r="M68" s="207">
        <f t="shared" si="3"/>
        <v>4.8</v>
      </c>
      <c r="N68" s="204">
        <f t="shared" si="4"/>
        <v>0</v>
      </c>
      <c r="O68" s="204">
        <f t="shared" si="5"/>
        <v>0.4</v>
      </c>
      <c r="P68" s="204">
        <f t="shared" si="6"/>
        <v>5.2</v>
      </c>
    </row>
    <row r="69" spans="1:16">
      <c r="A69" s="251" t="s">
        <v>1039</v>
      </c>
      <c r="B69" s="251"/>
      <c r="C69" s="2" t="s">
        <v>1032</v>
      </c>
      <c r="D69" s="6" t="s">
        <v>797</v>
      </c>
      <c r="E69" s="156">
        <v>1</v>
      </c>
      <c r="F69" s="202">
        <v>3</v>
      </c>
      <c r="G69" s="203">
        <v>6</v>
      </c>
      <c r="H69" s="204">
        <f t="shared" si="0"/>
        <v>18</v>
      </c>
      <c r="I69" s="205">
        <v>12</v>
      </c>
      <c r="J69" s="206">
        <v>3</v>
      </c>
      <c r="K69" s="207">
        <f t="shared" si="1"/>
        <v>33</v>
      </c>
      <c r="L69" s="204">
        <f t="shared" si="2"/>
        <v>3</v>
      </c>
      <c r="M69" s="207">
        <f t="shared" si="3"/>
        <v>18</v>
      </c>
      <c r="N69" s="204">
        <f t="shared" si="4"/>
        <v>12</v>
      </c>
      <c r="O69" s="204">
        <f t="shared" si="5"/>
        <v>3</v>
      </c>
      <c r="P69" s="204">
        <f t="shared" si="6"/>
        <v>33</v>
      </c>
    </row>
    <row r="70" spans="1:16" ht="15">
      <c r="A70" s="199"/>
      <c r="B70" s="199"/>
      <c r="C70" s="200"/>
      <c r="D70" s="154"/>
      <c r="E70" s="201"/>
      <c r="F70" s="202"/>
      <c r="G70" s="203"/>
      <c r="H70" s="204"/>
      <c r="I70" s="205"/>
      <c r="J70" s="206"/>
      <c r="K70" s="207"/>
      <c r="L70" s="204"/>
      <c r="M70" s="207"/>
      <c r="N70" s="204"/>
      <c r="O70" s="204"/>
      <c r="P70" s="204"/>
    </row>
    <row r="71" spans="1:16">
      <c r="A71" s="208"/>
      <c r="B71" s="208"/>
      <c r="C71" s="209" t="s">
        <v>1112</v>
      </c>
      <c r="D71" s="210"/>
      <c r="E71" s="211"/>
      <c r="F71" s="212"/>
      <c r="G71" s="212"/>
      <c r="H71" s="212"/>
      <c r="I71" s="212"/>
      <c r="J71" s="213"/>
      <c r="K71" s="213"/>
      <c r="L71" s="214">
        <f>SUM(L17:L70)</f>
        <v>546.5</v>
      </c>
      <c r="M71" s="214">
        <f t="shared" ref="M71:P71" si="9">SUM(M17:M70)</f>
        <v>3279</v>
      </c>
      <c r="N71" s="214">
        <f t="shared" si="9"/>
        <v>5185.3100000000004</v>
      </c>
      <c r="O71" s="214">
        <f t="shared" si="9"/>
        <v>264.39999999999998</v>
      </c>
      <c r="P71" s="214">
        <f t="shared" si="9"/>
        <v>8728.7099999999991</v>
      </c>
    </row>
    <row r="72" spans="1:16" ht="15" customHeight="1">
      <c r="A72" s="215" t="s">
        <v>1113</v>
      </c>
      <c r="B72" s="215"/>
      <c r="C72" s="216"/>
      <c r="D72" s="215"/>
      <c r="E72" s="217"/>
      <c r="F72" s="217"/>
      <c r="G72" s="217"/>
      <c r="H72" s="217"/>
      <c r="I72" s="217"/>
      <c r="J72" s="217"/>
      <c r="K72" s="217"/>
      <c r="L72" s="218"/>
      <c r="M72" s="218"/>
      <c r="N72" s="218"/>
      <c r="O72" s="218"/>
      <c r="P72" s="218"/>
    </row>
    <row r="73" spans="1:16" ht="15.75">
      <c r="A73" s="219"/>
      <c r="B73" s="219"/>
      <c r="C73" s="220"/>
      <c r="D73" s="219"/>
      <c r="E73" s="219"/>
      <c r="F73" s="219"/>
      <c r="G73" s="219"/>
      <c r="H73" s="219"/>
      <c r="I73" s="219"/>
      <c r="J73" s="219"/>
      <c r="K73" s="219"/>
      <c r="L73" s="219"/>
      <c r="M73" s="219"/>
      <c r="N73" s="219"/>
      <c r="O73" s="219"/>
      <c r="P73" s="219"/>
    </row>
    <row r="74" spans="1:16" ht="15">
      <c r="A74" s="219"/>
      <c r="B74" s="219"/>
      <c r="C74" s="219"/>
      <c r="D74" s="219"/>
      <c r="E74" s="219"/>
      <c r="F74" s="219"/>
      <c r="G74" s="219"/>
      <c r="H74" s="219"/>
      <c r="I74" s="219"/>
      <c r="J74" s="219"/>
      <c r="K74" s="219"/>
      <c r="L74" s="219"/>
      <c r="M74" s="219"/>
      <c r="N74" s="219"/>
      <c r="O74" s="219"/>
      <c r="P74" s="219"/>
    </row>
    <row r="75" spans="1:16" ht="15">
      <c r="A75" s="219"/>
      <c r="B75" s="219"/>
      <c r="C75" s="221" t="s">
        <v>1114</v>
      </c>
      <c r="D75" s="221"/>
      <c r="E75" s="221"/>
      <c r="F75" s="221"/>
      <c r="G75" s="222"/>
      <c r="H75" s="223"/>
      <c r="I75" s="223" t="s">
        <v>1115</v>
      </c>
      <c r="J75" s="222" t="s">
        <v>1116</v>
      </c>
      <c r="K75" s="222"/>
      <c r="L75" s="222"/>
      <c r="M75" s="222"/>
      <c r="N75" s="224"/>
      <c r="O75" s="219"/>
      <c r="P75" s="219"/>
    </row>
    <row r="76" spans="1:16" ht="15" customHeight="1">
      <c r="A76" s="219"/>
      <c r="B76" s="219"/>
      <c r="C76" s="225" t="s">
        <v>1097</v>
      </c>
      <c r="D76" s="225"/>
      <c r="E76" s="225"/>
      <c r="F76" s="225"/>
      <c r="G76" s="222"/>
      <c r="H76" s="222"/>
      <c r="I76" s="222"/>
      <c r="J76" s="312" t="s">
        <v>1097</v>
      </c>
      <c r="K76" s="312"/>
      <c r="L76" s="312"/>
      <c r="M76" s="312"/>
      <c r="N76" s="224"/>
      <c r="O76" s="219"/>
      <c r="P76" s="219"/>
    </row>
    <row r="77" spans="1:16" ht="15">
      <c r="A77" s="219"/>
      <c r="B77" s="219"/>
      <c r="C77" s="222" t="s">
        <v>1075</v>
      </c>
      <c r="D77" s="222"/>
      <c r="E77" s="222"/>
      <c r="F77" s="222"/>
      <c r="G77" s="222"/>
      <c r="H77" s="222"/>
      <c r="I77" s="222" t="s">
        <v>1078</v>
      </c>
      <c r="J77" s="222"/>
      <c r="K77" s="222"/>
      <c r="L77" s="222"/>
      <c r="M77" s="222"/>
      <c r="N77" s="224"/>
      <c r="O77" s="219"/>
      <c r="P77" s="219"/>
    </row>
    <row r="78" spans="1:16">
      <c r="A78" s="166"/>
      <c r="B78" s="166"/>
    </row>
    <row r="79" spans="1:16" ht="15" customHeight="1">
      <c r="A79" s="166"/>
      <c r="B79" s="166"/>
    </row>
    <row r="80" spans="1:16" s="157" customFormat="1">
      <c r="A80" s="166"/>
      <c r="B80" s="166"/>
      <c r="C80" s="121"/>
      <c r="D80" s="121"/>
      <c r="E80" s="121"/>
      <c r="F80" s="121"/>
      <c r="G80" s="121"/>
      <c r="H80" s="121"/>
      <c r="I80" s="121"/>
      <c r="J80" s="121"/>
      <c r="K80" s="121"/>
      <c r="L80" s="121"/>
      <c r="M80" s="121"/>
      <c r="N80" s="121"/>
      <c r="O80" s="121"/>
      <c r="P80" s="121"/>
    </row>
    <row r="81" spans="1:2">
      <c r="A81" s="166"/>
      <c r="B81" s="166"/>
    </row>
    <row r="82" spans="1:2">
      <c r="A82" s="166"/>
      <c r="B82" s="166"/>
    </row>
  </sheetData>
  <mergeCells count="15">
    <mergeCell ref="A9:E9"/>
    <mergeCell ref="A2:E2"/>
    <mergeCell ref="A4:E4"/>
    <mergeCell ref="A5:E5"/>
    <mergeCell ref="A7:E7"/>
    <mergeCell ref="A8:E8"/>
    <mergeCell ref="F14:K14"/>
    <mergeCell ref="L14:P14"/>
    <mergeCell ref="J76:M76"/>
    <mergeCell ref="A12:E12"/>
    <mergeCell ref="A14:A15"/>
    <mergeCell ref="C14:C15"/>
    <mergeCell ref="D14:D15"/>
    <mergeCell ref="E14:E15"/>
    <mergeCell ref="B14:B15"/>
  </mergeCells>
  <pageMargins left="1.299212598425197" right="0.70866141732283472" top="0.74803149606299213" bottom="0.74803149606299213" header="0.31496062992125984" footer="0.31496062992125984"/>
  <pageSetup paperSize="8"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2:P47"/>
  <sheetViews>
    <sheetView showZeros="0" topLeftCell="A33" zoomScale="90" zoomScaleNormal="90" workbookViewId="0">
      <selection sqref="A1:P42"/>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33</v>
      </c>
      <c r="B2" s="313"/>
      <c r="C2" s="313"/>
      <c r="D2" s="313"/>
      <c r="E2" s="313"/>
      <c r="F2" s="158"/>
    </row>
    <row r="3" spans="1:16">
      <c r="A3" s="122"/>
      <c r="B3" s="122"/>
      <c r="C3" s="122"/>
      <c r="D3" s="122"/>
      <c r="E3" s="122"/>
      <c r="F3" s="158"/>
    </row>
    <row r="4" spans="1:16">
      <c r="A4" s="314" t="s">
        <v>386</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88</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263" t="s">
        <v>909</v>
      </c>
      <c r="B16" s="263"/>
      <c r="C16" s="235" t="s">
        <v>893</v>
      </c>
      <c r="D16" s="236"/>
      <c r="E16" s="237"/>
      <c r="F16" s="238"/>
      <c r="G16" s="239"/>
      <c r="H16" s="239"/>
      <c r="I16" s="239"/>
      <c r="J16" s="239"/>
      <c r="K16" s="239"/>
      <c r="L16" s="239"/>
      <c r="M16" s="239"/>
      <c r="N16" s="239"/>
      <c r="O16" s="239"/>
      <c r="P16" s="239"/>
    </row>
    <row r="17" spans="1:16">
      <c r="A17" s="264" t="s">
        <v>910</v>
      </c>
      <c r="B17" s="264"/>
      <c r="C17" s="240" t="s">
        <v>39</v>
      </c>
      <c r="D17" s="241" t="s">
        <v>710</v>
      </c>
      <c r="E17" s="242">
        <v>1</v>
      </c>
      <c r="F17" s="202">
        <v>10</v>
      </c>
      <c r="G17" s="203">
        <v>6</v>
      </c>
      <c r="H17" s="204">
        <f t="shared" ref="H17:H34" si="0">ROUND(G17*F17,2)</f>
        <v>60</v>
      </c>
      <c r="I17" s="205"/>
      <c r="J17" s="206">
        <v>10</v>
      </c>
      <c r="K17" s="207">
        <f t="shared" ref="K17:K34" si="1">SUM(H17:J17)</f>
        <v>70</v>
      </c>
      <c r="L17" s="204">
        <f t="shared" ref="L17:L34" si="2">ROUND(F17*E17,2)</f>
        <v>10</v>
      </c>
      <c r="M17" s="207">
        <f t="shared" ref="M17:M34" si="3">ROUND(H17*E17,2)</f>
        <v>60</v>
      </c>
      <c r="N17" s="204">
        <f t="shared" ref="N17:N34" si="4">ROUND(I17*E17,2)</f>
        <v>0</v>
      </c>
      <c r="O17" s="204">
        <f t="shared" ref="O17:O34" si="5">ROUND(J17*E17,2)</f>
        <v>10</v>
      </c>
      <c r="P17" s="204">
        <f t="shared" ref="P17:P34" si="6">SUM(M17:O17)</f>
        <v>70</v>
      </c>
    </row>
    <row r="18" spans="1:16">
      <c r="A18" s="264" t="s">
        <v>911</v>
      </c>
      <c r="B18" s="264"/>
      <c r="C18" s="240" t="s">
        <v>40</v>
      </c>
      <c r="D18" s="241" t="s">
        <v>710</v>
      </c>
      <c r="E18" s="243">
        <v>1</v>
      </c>
      <c r="F18" s="202">
        <v>2</v>
      </c>
      <c r="G18" s="203">
        <v>6</v>
      </c>
      <c r="H18" s="204">
        <f t="shared" si="0"/>
        <v>12</v>
      </c>
      <c r="I18" s="205"/>
      <c r="J18" s="206">
        <v>5</v>
      </c>
      <c r="K18" s="207">
        <f t="shared" si="1"/>
        <v>17</v>
      </c>
      <c r="L18" s="204">
        <f t="shared" si="2"/>
        <v>2</v>
      </c>
      <c r="M18" s="207">
        <f t="shared" si="3"/>
        <v>12</v>
      </c>
      <c r="N18" s="204">
        <f t="shared" si="4"/>
        <v>0</v>
      </c>
      <c r="O18" s="204">
        <f t="shared" si="5"/>
        <v>5</v>
      </c>
      <c r="P18" s="204">
        <f t="shared" si="6"/>
        <v>17</v>
      </c>
    </row>
    <row r="19" spans="1:16">
      <c r="A19" s="264" t="s">
        <v>912</v>
      </c>
      <c r="B19" s="264"/>
      <c r="C19" s="244" t="s">
        <v>894</v>
      </c>
      <c r="D19" s="245" t="s">
        <v>43</v>
      </c>
      <c r="E19" s="246">
        <v>13</v>
      </c>
      <c r="F19" s="202">
        <f>2/5</f>
        <v>0.4</v>
      </c>
      <c r="G19" s="203">
        <v>6</v>
      </c>
      <c r="H19" s="204">
        <f t="shared" si="0"/>
        <v>2.4</v>
      </c>
      <c r="I19" s="205"/>
      <c r="J19" s="206">
        <v>3</v>
      </c>
      <c r="K19" s="207">
        <f t="shared" si="1"/>
        <v>5.4</v>
      </c>
      <c r="L19" s="204">
        <f t="shared" si="2"/>
        <v>5.2</v>
      </c>
      <c r="M19" s="207">
        <f t="shared" si="3"/>
        <v>31.2</v>
      </c>
      <c r="N19" s="204">
        <f t="shared" si="4"/>
        <v>0</v>
      </c>
      <c r="O19" s="204">
        <f t="shared" si="5"/>
        <v>39</v>
      </c>
      <c r="P19" s="204">
        <f t="shared" si="6"/>
        <v>70.2</v>
      </c>
    </row>
    <row r="20" spans="1:16" ht="38.25">
      <c r="A20" s="264" t="s">
        <v>913</v>
      </c>
      <c r="B20" s="264"/>
      <c r="C20" s="247" t="s">
        <v>895</v>
      </c>
      <c r="D20" s="248" t="s">
        <v>720</v>
      </c>
      <c r="E20" s="249">
        <v>5</v>
      </c>
      <c r="F20" s="202">
        <v>4</v>
      </c>
      <c r="G20" s="203">
        <v>6</v>
      </c>
      <c r="H20" s="204">
        <f t="shared" si="0"/>
        <v>24</v>
      </c>
      <c r="I20" s="205">
        <v>5</v>
      </c>
      <c r="J20" s="206">
        <v>5</v>
      </c>
      <c r="K20" s="207">
        <f t="shared" si="1"/>
        <v>34</v>
      </c>
      <c r="L20" s="204">
        <f t="shared" si="2"/>
        <v>20</v>
      </c>
      <c r="M20" s="207">
        <f t="shared" si="3"/>
        <v>120</v>
      </c>
      <c r="N20" s="204">
        <f t="shared" si="4"/>
        <v>25</v>
      </c>
      <c r="O20" s="204">
        <f t="shared" si="5"/>
        <v>25</v>
      </c>
      <c r="P20" s="204">
        <f t="shared" si="6"/>
        <v>170</v>
      </c>
    </row>
    <row r="21" spans="1:16" ht="38.25">
      <c r="A21" s="264" t="s">
        <v>914</v>
      </c>
      <c r="B21" s="264"/>
      <c r="C21" s="247" t="s">
        <v>928</v>
      </c>
      <c r="D21" s="241" t="s">
        <v>802</v>
      </c>
      <c r="E21" s="250">
        <v>13</v>
      </c>
      <c r="F21" s="202">
        <v>0.3</v>
      </c>
      <c r="G21" s="203">
        <v>6</v>
      </c>
      <c r="H21" s="204">
        <f t="shared" si="0"/>
        <v>1.8</v>
      </c>
      <c r="I21" s="205">
        <v>2</v>
      </c>
      <c r="J21" s="206">
        <v>7</v>
      </c>
      <c r="K21" s="207">
        <f t="shared" si="1"/>
        <v>10.8</v>
      </c>
      <c r="L21" s="204">
        <f t="shared" si="2"/>
        <v>3.9</v>
      </c>
      <c r="M21" s="207">
        <f t="shared" si="3"/>
        <v>23.4</v>
      </c>
      <c r="N21" s="204">
        <f t="shared" si="4"/>
        <v>26</v>
      </c>
      <c r="O21" s="204">
        <f t="shared" si="5"/>
        <v>91</v>
      </c>
      <c r="P21" s="204">
        <f t="shared" si="6"/>
        <v>140.4</v>
      </c>
    </row>
    <row r="22" spans="1:16" ht="25.5">
      <c r="A22" s="264" t="s">
        <v>915</v>
      </c>
      <c r="B22" s="264"/>
      <c r="C22" s="247" t="s">
        <v>896</v>
      </c>
      <c r="D22" s="248" t="s">
        <v>0</v>
      </c>
      <c r="E22" s="250">
        <v>13</v>
      </c>
      <c r="F22" s="202">
        <v>0.3</v>
      </c>
      <c r="G22" s="203">
        <v>6</v>
      </c>
      <c r="H22" s="204">
        <f t="shared" si="0"/>
        <v>1.8</v>
      </c>
      <c r="I22" s="205">
        <v>4.38</v>
      </c>
      <c r="J22" s="206">
        <v>0.1</v>
      </c>
      <c r="K22" s="207">
        <f t="shared" si="1"/>
        <v>6.28</v>
      </c>
      <c r="L22" s="204">
        <f t="shared" si="2"/>
        <v>3.9</v>
      </c>
      <c r="M22" s="207">
        <f t="shared" si="3"/>
        <v>23.4</v>
      </c>
      <c r="N22" s="204">
        <f t="shared" si="4"/>
        <v>56.94</v>
      </c>
      <c r="O22" s="204">
        <f t="shared" si="5"/>
        <v>1.3</v>
      </c>
      <c r="P22" s="204">
        <f t="shared" si="6"/>
        <v>81.64</v>
      </c>
    </row>
    <row r="23" spans="1:16" ht="38.25">
      <c r="A23" s="264" t="s">
        <v>916</v>
      </c>
      <c r="B23" s="264"/>
      <c r="C23" s="247" t="s">
        <v>897</v>
      </c>
      <c r="D23" s="248" t="s">
        <v>0</v>
      </c>
      <c r="E23" s="250">
        <v>30</v>
      </c>
      <c r="F23" s="202">
        <v>0.6</v>
      </c>
      <c r="G23" s="203">
        <v>6</v>
      </c>
      <c r="H23" s="204">
        <f t="shared" si="0"/>
        <v>3.6</v>
      </c>
      <c r="I23" s="205">
        <v>4.38</v>
      </c>
      <c r="J23" s="206">
        <v>0.1</v>
      </c>
      <c r="K23" s="207">
        <f t="shared" si="1"/>
        <v>8.08</v>
      </c>
      <c r="L23" s="204">
        <f t="shared" si="2"/>
        <v>18</v>
      </c>
      <c r="M23" s="207">
        <f t="shared" si="3"/>
        <v>108</v>
      </c>
      <c r="N23" s="204">
        <f t="shared" si="4"/>
        <v>131.4</v>
      </c>
      <c r="O23" s="204">
        <f t="shared" si="5"/>
        <v>3</v>
      </c>
      <c r="P23" s="204">
        <f t="shared" si="6"/>
        <v>242.4</v>
      </c>
    </row>
    <row r="24" spans="1:16">
      <c r="A24" s="264" t="s">
        <v>917</v>
      </c>
      <c r="B24" s="264"/>
      <c r="C24" s="247" t="s">
        <v>898</v>
      </c>
      <c r="D24" s="248" t="s">
        <v>0</v>
      </c>
      <c r="E24" s="249">
        <v>43</v>
      </c>
      <c r="F24" s="202">
        <v>0.4</v>
      </c>
      <c r="G24" s="203">
        <v>6</v>
      </c>
      <c r="H24" s="204">
        <f t="shared" si="0"/>
        <v>2.4</v>
      </c>
      <c r="I24" s="205">
        <v>2.6</v>
      </c>
      <c r="J24" s="206">
        <v>0.1</v>
      </c>
      <c r="K24" s="207">
        <f t="shared" si="1"/>
        <v>5.0999999999999996</v>
      </c>
      <c r="L24" s="204">
        <f t="shared" si="2"/>
        <v>17.2</v>
      </c>
      <c r="M24" s="207">
        <f t="shared" si="3"/>
        <v>103.2</v>
      </c>
      <c r="N24" s="204">
        <f t="shared" si="4"/>
        <v>111.8</v>
      </c>
      <c r="O24" s="204">
        <f t="shared" si="5"/>
        <v>4.3</v>
      </c>
      <c r="P24" s="204">
        <f t="shared" si="6"/>
        <v>219.3</v>
      </c>
    </row>
    <row r="25" spans="1:16">
      <c r="A25" s="264" t="s">
        <v>918</v>
      </c>
      <c r="B25" s="264"/>
      <c r="C25" s="247" t="s">
        <v>899</v>
      </c>
      <c r="D25" s="248" t="s">
        <v>0</v>
      </c>
      <c r="E25" s="249">
        <v>7</v>
      </c>
      <c r="F25" s="202">
        <v>0.4</v>
      </c>
      <c r="G25" s="203">
        <v>6</v>
      </c>
      <c r="H25" s="204">
        <f t="shared" si="0"/>
        <v>2.4</v>
      </c>
      <c r="I25" s="205">
        <v>2.6</v>
      </c>
      <c r="J25" s="206">
        <v>0.1</v>
      </c>
      <c r="K25" s="207">
        <f t="shared" si="1"/>
        <v>5.0999999999999996</v>
      </c>
      <c r="L25" s="204">
        <f t="shared" si="2"/>
        <v>2.8</v>
      </c>
      <c r="M25" s="207">
        <f t="shared" si="3"/>
        <v>16.8</v>
      </c>
      <c r="N25" s="204">
        <f t="shared" si="4"/>
        <v>18.2</v>
      </c>
      <c r="O25" s="204">
        <f t="shared" si="5"/>
        <v>0.7</v>
      </c>
      <c r="P25" s="204">
        <f t="shared" si="6"/>
        <v>35.700000000000003</v>
      </c>
    </row>
    <row r="26" spans="1:16" ht="25.5">
      <c r="A26" s="264" t="s">
        <v>919</v>
      </c>
      <c r="B26" s="264"/>
      <c r="C26" s="247" t="s">
        <v>900</v>
      </c>
      <c r="D26" s="248" t="s">
        <v>710</v>
      </c>
      <c r="E26" s="249">
        <v>2</v>
      </c>
      <c r="F26" s="202">
        <v>4</v>
      </c>
      <c r="G26" s="203">
        <v>6</v>
      </c>
      <c r="H26" s="204">
        <f t="shared" si="0"/>
        <v>24</v>
      </c>
      <c r="I26" s="205">
        <v>35</v>
      </c>
      <c r="J26" s="206">
        <v>0.5</v>
      </c>
      <c r="K26" s="207">
        <f t="shared" si="1"/>
        <v>59.5</v>
      </c>
      <c r="L26" s="204">
        <f t="shared" si="2"/>
        <v>8</v>
      </c>
      <c r="M26" s="207">
        <f t="shared" si="3"/>
        <v>48</v>
      </c>
      <c r="N26" s="204">
        <f t="shared" si="4"/>
        <v>70</v>
      </c>
      <c r="O26" s="204">
        <f t="shared" si="5"/>
        <v>1</v>
      </c>
      <c r="P26" s="204">
        <f t="shared" si="6"/>
        <v>119</v>
      </c>
    </row>
    <row r="27" spans="1:16">
      <c r="A27" s="264" t="s">
        <v>920</v>
      </c>
      <c r="B27" s="264"/>
      <c r="C27" s="240" t="s">
        <v>901</v>
      </c>
      <c r="D27" s="241" t="s">
        <v>802</v>
      </c>
      <c r="E27" s="250">
        <v>13</v>
      </c>
      <c r="F27" s="202">
        <v>0.1</v>
      </c>
      <c r="G27" s="203">
        <v>6</v>
      </c>
      <c r="H27" s="204">
        <f t="shared" si="0"/>
        <v>0.6</v>
      </c>
      <c r="I27" s="205">
        <v>0.45</v>
      </c>
      <c r="J27" s="206">
        <v>0.1</v>
      </c>
      <c r="K27" s="207">
        <f t="shared" si="1"/>
        <v>1.1499999999999999</v>
      </c>
      <c r="L27" s="204">
        <f t="shared" si="2"/>
        <v>1.3</v>
      </c>
      <c r="M27" s="207">
        <f t="shared" si="3"/>
        <v>7.8</v>
      </c>
      <c r="N27" s="204">
        <f t="shared" si="4"/>
        <v>5.85</v>
      </c>
      <c r="O27" s="204">
        <f t="shared" si="5"/>
        <v>1.3</v>
      </c>
      <c r="P27" s="204">
        <f t="shared" si="6"/>
        <v>14.95</v>
      </c>
    </row>
    <row r="28" spans="1:16">
      <c r="A28" s="264" t="s">
        <v>921</v>
      </c>
      <c r="B28" s="264"/>
      <c r="C28" s="265" t="s">
        <v>902</v>
      </c>
      <c r="D28" s="266" t="s">
        <v>797</v>
      </c>
      <c r="E28" s="266">
        <v>1</v>
      </c>
      <c r="F28" s="202">
        <v>5</v>
      </c>
      <c r="G28" s="203">
        <v>6</v>
      </c>
      <c r="H28" s="204">
        <f t="shared" si="0"/>
        <v>30</v>
      </c>
      <c r="I28" s="205">
        <v>6</v>
      </c>
      <c r="J28" s="206">
        <v>3</v>
      </c>
      <c r="K28" s="207">
        <f t="shared" si="1"/>
        <v>39</v>
      </c>
      <c r="L28" s="204">
        <f t="shared" si="2"/>
        <v>5</v>
      </c>
      <c r="M28" s="207">
        <f t="shared" si="3"/>
        <v>30</v>
      </c>
      <c r="N28" s="204">
        <f t="shared" si="4"/>
        <v>6</v>
      </c>
      <c r="O28" s="204">
        <f t="shared" si="5"/>
        <v>3</v>
      </c>
      <c r="P28" s="204">
        <f t="shared" si="6"/>
        <v>39</v>
      </c>
    </row>
    <row r="29" spans="1:16">
      <c r="A29" s="264" t="s">
        <v>922</v>
      </c>
      <c r="B29" s="264"/>
      <c r="C29" s="240" t="s">
        <v>903</v>
      </c>
      <c r="D29" s="241" t="s">
        <v>710</v>
      </c>
      <c r="E29" s="250">
        <v>1</v>
      </c>
      <c r="F29" s="202">
        <f>80/5</f>
        <v>16</v>
      </c>
      <c r="G29" s="203">
        <v>6</v>
      </c>
      <c r="H29" s="204">
        <f t="shared" si="0"/>
        <v>96</v>
      </c>
      <c r="I29" s="205">
        <v>125</v>
      </c>
      <c r="J29" s="206">
        <v>3</v>
      </c>
      <c r="K29" s="207">
        <f t="shared" si="1"/>
        <v>224</v>
      </c>
      <c r="L29" s="204">
        <f t="shared" si="2"/>
        <v>16</v>
      </c>
      <c r="M29" s="207">
        <f t="shared" si="3"/>
        <v>96</v>
      </c>
      <c r="N29" s="204">
        <f t="shared" si="4"/>
        <v>125</v>
      </c>
      <c r="O29" s="204">
        <f t="shared" si="5"/>
        <v>3</v>
      </c>
      <c r="P29" s="204">
        <f t="shared" si="6"/>
        <v>224</v>
      </c>
    </row>
    <row r="30" spans="1:16">
      <c r="A30" s="264" t="s">
        <v>923</v>
      </c>
      <c r="B30" s="264"/>
      <c r="C30" s="240" t="s">
        <v>904</v>
      </c>
      <c r="D30" s="241" t="s">
        <v>710</v>
      </c>
      <c r="E30" s="250">
        <v>4</v>
      </c>
      <c r="F30" s="202">
        <v>0.6</v>
      </c>
      <c r="G30" s="203">
        <v>6</v>
      </c>
      <c r="H30" s="204">
        <f t="shared" si="0"/>
        <v>3.6</v>
      </c>
      <c r="I30" s="205">
        <v>7</v>
      </c>
      <c r="J30" s="206">
        <v>0.3</v>
      </c>
      <c r="K30" s="207">
        <f t="shared" si="1"/>
        <v>10.9</v>
      </c>
      <c r="L30" s="204">
        <f t="shared" si="2"/>
        <v>2.4</v>
      </c>
      <c r="M30" s="207">
        <f t="shared" si="3"/>
        <v>14.4</v>
      </c>
      <c r="N30" s="204">
        <f t="shared" si="4"/>
        <v>28</v>
      </c>
      <c r="O30" s="204">
        <f t="shared" si="5"/>
        <v>1.2</v>
      </c>
      <c r="P30" s="204">
        <f t="shared" si="6"/>
        <v>43.6</v>
      </c>
    </row>
    <row r="31" spans="1:16">
      <c r="A31" s="264" t="s">
        <v>924</v>
      </c>
      <c r="B31" s="264"/>
      <c r="C31" s="240" t="s">
        <v>905</v>
      </c>
      <c r="D31" s="241" t="s">
        <v>797</v>
      </c>
      <c r="E31" s="250">
        <v>1</v>
      </c>
      <c r="F31" s="202">
        <v>1</v>
      </c>
      <c r="G31" s="203">
        <v>6</v>
      </c>
      <c r="H31" s="204">
        <f t="shared" si="0"/>
        <v>6</v>
      </c>
      <c r="I31" s="205">
        <v>18</v>
      </c>
      <c r="J31" s="206">
        <v>0.1</v>
      </c>
      <c r="K31" s="207">
        <f t="shared" si="1"/>
        <v>24.1</v>
      </c>
      <c r="L31" s="204">
        <f t="shared" si="2"/>
        <v>1</v>
      </c>
      <c r="M31" s="207">
        <f t="shared" si="3"/>
        <v>6</v>
      </c>
      <c r="N31" s="204">
        <f t="shared" si="4"/>
        <v>18</v>
      </c>
      <c r="O31" s="204">
        <f t="shared" si="5"/>
        <v>0.1</v>
      </c>
      <c r="P31" s="204">
        <f t="shared" si="6"/>
        <v>24.1</v>
      </c>
    </row>
    <row r="32" spans="1:16" ht="25.5">
      <c r="A32" s="264" t="s">
        <v>925</v>
      </c>
      <c r="B32" s="264"/>
      <c r="C32" s="240" t="s">
        <v>906</v>
      </c>
      <c r="D32" s="241" t="s">
        <v>710</v>
      </c>
      <c r="E32" s="250">
        <v>1</v>
      </c>
      <c r="F32" s="202">
        <v>10</v>
      </c>
      <c r="G32" s="203">
        <v>6</v>
      </c>
      <c r="H32" s="204">
        <f t="shared" si="0"/>
        <v>60</v>
      </c>
      <c r="I32" s="205">
        <v>15</v>
      </c>
      <c r="J32" s="206">
        <v>2</v>
      </c>
      <c r="K32" s="207">
        <f t="shared" si="1"/>
        <v>77</v>
      </c>
      <c r="L32" s="204">
        <f t="shared" si="2"/>
        <v>10</v>
      </c>
      <c r="M32" s="207">
        <f t="shared" si="3"/>
        <v>60</v>
      </c>
      <c r="N32" s="204">
        <f t="shared" si="4"/>
        <v>15</v>
      </c>
      <c r="O32" s="204">
        <f t="shared" si="5"/>
        <v>2</v>
      </c>
      <c r="P32" s="204">
        <f t="shared" si="6"/>
        <v>77</v>
      </c>
    </row>
    <row r="33" spans="1:16">
      <c r="A33" s="264" t="s">
        <v>926</v>
      </c>
      <c r="B33" s="264"/>
      <c r="C33" s="240" t="s">
        <v>907</v>
      </c>
      <c r="D33" s="241" t="s">
        <v>710</v>
      </c>
      <c r="E33" s="250">
        <v>1</v>
      </c>
      <c r="F33" s="202">
        <v>4</v>
      </c>
      <c r="G33" s="203">
        <v>6</v>
      </c>
      <c r="H33" s="204">
        <f t="shared" ref="H33" si="7">ROUND(G33*F33,2)</f>
        <v>24</v>
      </c>
      <c r="I33" s="205">
        <v>46</v>
      </c>
      <c r="J33" s="206">
        <v>0.5</v>
      </c>
      <c r="K33" s="207">
        <f t="shared" si="1"/>
        <v>70.5</v>
      </c>
      <c r="L33" s="204">
        <f t="shared" si="2"/>
        <v>4</v>
      </c>
      <c r="M33" s="207">
        <f t="shared" si="3"/>
        <v>24</v>
      </c>
      <c r="N33" s="204">
        <f t="shared" si="4"/>
        <v>46</v>
      </c>
      <c r="O33" s="204">
        <f t="shared" si="5"/>
        <v>0.5</v>
      </c>
      <c r="P33" s="204">
        <f t="shared" si="6"/>
        <v>70.5</v>
      </c>
    </row>
    <row r="34" spans="1:16">
      <c r="A34" s="264" t="s">
        <v>927</v>
      </c>
      <c r="B34" s="264"/>
      <c r="C34" s="240" t="s">
        <v>908</v>
      </c>
      <c r="D34" s="241" t="s">
        <v>797</v>
      </c>
      <c r="E34" s="250">
        <v>2</v>
      </c>
      <c r="F34" s="202">
        <v>1</v>
      </c>
      <c r="G34" s="203">
        <v>6</v>
      </c>
      <c r="H34" s="204">
        <f t="shared" si="0"/>
        <v>6</v>
      </c>
      <c r="I34" s="205">
        <v>4.5</v>
      </c>
      <c r="J34" s="206">
        <v>0.2</v>
      </c>
      <c r="K34" s="207">
        <f t="shared" si="1"/>
        <v>10.7</v>
      </c>
      <c r="L34" s="204">
        <f t="shared" si="2"/>
        <v>2</v>
      </c>
      <c r="M34" s="207">
        <f t="shared" si="3"/>
        <v>12</v>
      </c>
      <c r="N34" s="204">
        <f t="shared" si="4"/>
        <v>9</v>
      </c>
      <c r="O34" s="204">
        <f t="shared" si="5"/>
        <v>0.4</v>
      </c>
      <c r="P34" s="204">
        <f t="shared" si="6"/>
        <v>21.4</v>
      </c>
    </row>
    <row r="35" spans="1:16" ht="15">
      <c r="A35" s="199"/>
      <c r="B35" s="199"/>
      <c r="C35" s="200"/>
      <c r="D35" s="154"/>
      <c r="E35" s="201"/>
      <c r="F35" s="202"/>
      <c r="G35" s="203"/>
      <c r="H35" s="204"/>
      <c r="I35" s="205"/>
      <c r="J35" s="206"/>
      <c r="K35" s="207"/>
      <c r="L35" s="204"/>
      <c r="M35" s="207"/>
      <c r="N35" s="204"/>
      <c r="O35" s="204"/>
      <c r="P35" s="204"/>
    </row>
    <row r="36" spans="1:16">
      <c r="A36" s="208"/>
      <c r="B36" s="208"/>
      <c r="C36" s="209" t="s">
        <v>1112</v>
      </c>
      <c r="D36" s="210"/>
      <c r="E36" s="211"/>
      <c r="F36" s="212"/>
      <c r="G36" s="212"/>
      <c r="H36" s="212"/>
      <c r="I36" s="212"/>
      <c r="J36" s="213"/>
      <c r="K36" s="213"/>
      <c r="L36" s="214">
        <f>SUM(L17:L35)</f>
        <v>132.69999999999999</v>
      </c>
      <c r="M36" s="214">
        <f t="shared" ref="M36:P36" si="8">SUM(M17:M35)</f>
        <v>796.2</v>
      </c>
      <c r="N36" s="214">
        <f t="shared" si="8"/>
        <v>692.19</v>
      </c>
      <c r="O36" s="214">
        <f t="shared" si="8"/>
        <v>191.8</v>
      </c>
      <c r="P36" s="214">
        <f t="shared" si="8"/>
        <v>1680.19</v>
      </c>
    </row>
    <row r="37" spans="1:16" ht="15" customHeight="1">
      <c r="A37" s="215" t="s">
        <v>1113</v>
      </c>
      <c r="B37" s="215"/>
      <c r="C37" s="216"/>
      <c r="D37" s="215"/>
      <c r="E37" s="217"/>
      <c r="F37" s="217"/>
      <c r="G37" s="217"/>
      <c r="H37" s="217"/>
      <c r="I37" s="217"/>
      <c r="J37" s="217"/>
      <c r="K37" s="217"/>
      <c r="L37" s="218"/>
      <c r="M37" s="218"/>
      <c r="N37" s="218"/>
      <c r="O37" s="218"/>
      <c r="P37" s="218"/>
    </row>
    <row r="38" spans="1:16" ht="15.75">
      <c r="A38" s="219"/>
      <c r="B38" s="219"/>
      <c r="C38" s="220"/>
      <c r="D38" s="219"/>
      <c r="E38" s="219"/>
      <c r="F38" s="219"/>
      <c r="G38" s="219"/>
      <c r="H38" s="219"/>
      <c r="I38" s="219"/>
      <c r="J38" s="219"/>
      <c r="K38" s="219"/>
      <c r="L38" s="219"/>
      <c r="M38" s="219"/>
      <c r="N38" s="219"/>
      <c r="O38" s="219"/>
      <c r="P38" s="219"/>
    </row>
    <row r="39" spans="1:16" ht="15">
      <c r="A39" s="219"/>
      <c r="B39" s="219"/>
      <c r="C39" s="219"/>
      <c r="D39" s="219"/>
      <c r="E39" s="219"/>
      <c r="F39" s="219"/>
      <c r="G39" s="219"/>
      <c r="H39" s="219"/>
      <c r="I39" s="219"/>
      <c r="J39" s="219"/>
      <c r="K39" s="219"/>
      <c r="L39" s="219"/>
      <c r="M39" s="219"/>
      <c r="N39" s="219"/>
      <c r="O39" s="219"/>
      <c r="P39" s="219"/>
    </row>
    <row r="40" spans="1:16" ht="15">
      <c r="A40" s="219"/>
      <c r="B40" s="219"/>
      <c r="C40" s="221" t="s">
        <v>1114</v>
      </c>
      <c r="D40" s="221"/>
      <c r="E40" s="221"/>
      <c r="F40" s="221"/>
      <c r="G40" s="222"/>
      <c r="H40" s="223"/>
      <c r="I40" s="223" t="s">
        <v>1115</v>
      </c>
      <c r="J40" s="222" t="s">
        <v>1116</v>
      </c>
      <c r="K40" s="222"/>
      <c r="L40" s="222"/>
      <c r="M40" s="222"/>
      <c r="N40" s="224"/>
      <c r="O40" s="219"/>
      <c r="P40" s="219"/>
    </row>
    <row r="41" spans="1:16" ht="15" customHeight="1">
      <c r="A41" s="219"/>
      <c r="B41" s="219"/>
      <c r="C41" s="225" t="s">
        <v>1097</v>
      </c>
      <c r="D41" s="225"/>
      <c r="E41" s="225"/>
      <c r="F41" s="225"/>
      <c r="G41" s="222"/>
      <c r="H41" s="222"/>
      <c r="I41" s="222"/>
      <c r="J41" s="312" t="s">
        <v>1097</v>
      </c>
      <c r="K41" s="312"/>
      <c r="L41" s="312"/>
      <c r="M41" s="312"/>
      <c r="N41" s="224"/>
      <c r="O41" s="219"/>
      <c r="P41" s="219"/>
    </row>
    <row r="42" spans="1:16" ht="15">
      <c r="A42" s="219"/>
      <c r="B42" s="219"/>
      <c r="C42" s="222" t="s">
        <v>1075</v>
      </c>
      <c r="D42" s="222"/>
      <c r="E42" s="222"/>
      <c r="F42" s="222"/>
      <c r="G42" s="222"/>
      <c r="H42" s="222"/>
      <c r="I42" s="222" t="s">
        <v>1078</v>
      </c>
      <c r="J42" s="222"/>
      <c r="K42" s="222"/>
      <c r="L42" s="222"/>
      <c r="M42" s="222"/>
      <c r="N42" s="224"/>
      <c r="O42" s="219"/>
      <c r="P42" s="219"/>
    </row>
    <row r="43" spans="1:16">
      <c r="A43" s="166"/>
      <c r="B43" s="166"/>
    </row>
    <row r="44" spans="1:16" ht="15" customHeight="1">
      <c r="A44" s="166"/>
      <c r="B44" s="166"/>
    </row>
    <row r="45" spans="1:16" s="157" customFormat="1">
      <c r="A45" s="166"/>
      <c r="B45" s="166"/>
      <c r="C45" s="121"/>
      <c r="D45" s="121"/>
      <c r="E45" s="121"/>
      <c r="F45" s="121"/>
      <c r="G45" s="121"/>
      <c r="H45" s="121"/>
      <c r="I45" s="121"/>
      <c r="J45" s="121"/>
      <c r="K45" s="121"/>
      <c r="L45" s="121"/>
      <c r="M45" s="121"/>
      <c r="N45" s="121"/>
      <c r="O45" s="121"/>
      <c r="P45" s="121"/>
    </row>
    <row r="46" spans="1:16">
      <c r="A46" s="166"/>
      <c r="B46" s="166"/>
    </row>
    <row r="47" spans="1:16">
      <c r="A47" s="166"/>
      <c r="B47" s="166"/>
    </row>
  </sheetData>
  <mergeCells count="15">
    <mergeCell ref="A9:E9"/>
    <mergeCell ref="A2:E2"/>
    <mergeCell ref="A4:E4"/>
    <mergeCell ref="A5:E5"/>
    <mergeCell ref="A7:E7"/>
    <mergeCell ref="A8:E8"/>
    <mergeCell ref="F14:K14"/>
    <mergeCell ref="L14:P14"/>
    <mergeCell ref="J41:M41"/>
    <mergeCell ref="A12:E12"/>
    <mergeCell ref="A14:A15"/>
    <mergeCell ref="C14:C15"/>
    <mergeCell ref="D14:D15"/>
    <mergeCell ref="E14:E15"/>
    <mergeCell ref="B14:B15"/>
  </mergeCells>
  <pageMargins left="1.07" right="0.70866141732283472" top="0.74803149606299213" bottom="0.74803149606299213" header="0.31496062992125984" footer="0.31496062992125984"/>
  <pageSetup paperSize="8"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P40"/>
  <sheetViews>
    <sheetView showZeros="0" tabSelected="1" zoomScale="90" zoomScaleNormal="90" workbookViewId="0">
      <selection sqref="A1:P35"/>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35</v>
      </c>
      <c r="B2" s="313"/>
      <c r="C2" s="313"/>
      <c r="D2" s="313"/>
      <c r="E2" s="313"/>
      <c r="F2" s="158"/>
    </row>
    <row r="3" spans="1:16">
      <c r="A3" s="122"/>
      <c r="B3" s="122"/>
      <c r="C3" s="122"/>
      <c r="D3" s="122"/>
      <c r="E3" s="122"/>
      <c r="F3" s="158"/>
    </row>
    <row r="4" spans="1:16">
      <c r="A4" s="314" t="s">
        <v>387</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388</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267" t="s">
        <v>784</v>
      </c>
      <c r="B16" s="267"/>
      <c r="C16" s="268" t="s">
        <v>796</v>
      </c>
      <c r="D16" s="269"/>
      <c r="E16" s="269"/>
      <c r="F16" s="226"/>
      <c r="G16" s="227"/>
      <c r="H16" s="227"/>
      <c r="I16" s="227"/>
      <c r="J16" s="227"/>
      <c r="K16" s="227"/>
      <c r="L16" s="227"/>
      <c r="M16" s="227"/>
      <c r="N16" s="227"/>
      <c r="O16" s="227"/>
      <c r="P16" s="227"/>
    </row>
    <row r="17" spans="1:16">
      <c r="A17" s="270" t="s">
        <v>785</v>
      </c>
      <c r="B17" s="270"/>
      <c r="C17" s="271" t="s">
        <v>969</v>
      </c>
      <c r="D17" s="241" t="s">
        <v>797</v>
      </c>
      <c r="E17" s="250">
        <v>1</v>
      </c>
      <c r="F17" s="202">
        <v>3</v>
      </c>
      <c r="G17" s="203">
        <v>6</v>
      </c>
      <c r="H17" s="204">
        <f t="shared" ref="H17:H27" si="0">ROUND(G17*F17,2)</f>
        <v>18</v>
      </c>
      <c r="I17" s="205">
        <v>48</v>
      </c>
      <c r="J17" s="206">
        <v>0.5</v>
      </c>
      <c r="K17" s="207">
        <f t="shared" ref="K17:K27" si="1">SUM(H17:J17)</f>
        <v>66.5</v>
      </c>
      <c r="L17" s="204">
        <f t="shared" ref="L17:L27" si="2">ROUND(F17*E17,2)</f>
        <v>3</v>
      </c>
      <c r="M17" s="207">
        <f t="shared" ref="M17:M27" si="3">ROUND(H17*E17,2)</f>
        <v>18</v>
      </c>
      <c r="N17" s="204">
        <f t="shared" ref="N17:N27" si="4">ROUND(I17*E17,2)</f>
        <v>48</v>
      </c>
      <c r="O17" s="204">
        <f t="shared" ref="O17:O27" si="5">ROUND(J17*E17,2)</f>
        <v>0.5</v>
      </c>
      <c r="P17" s="204">
        <f t="shared" ref="P17:P27" si="6">SUM(M17:O17)</f>
        <v>66.5</v>
      </c>
    </row>
    <row r="18" spans="1:16" ht="25.5">
      <c r="A18" s="270" t="s">
        <v>786</v>
      </c>
      <c r="B18" s="270"/>
      <c r="C18" s="271" t="s">
        <v>798</v>
      </c>
      <c r="D18" s="241" t="s">
        <v>797</v>
      </c>
      <c r="E18" s="250">
        <v>13</v>
      </c>
      <c r="F18" s="275">
        <v>1.25</v>
      </c>
      <c r="G18" s="203">
        <v>6</v>
      </c>
      <c r="H18" s="144">
        <f t="shared" si="0"/>
        <v>7.5</v>
      </c>
      <c r="I18" s="144">
        <v>11</v>
      </c>
      <c r="J18" s="276">
        <f t="shared" ref="J18" si="7">ROUND(H18*0.07,2)</f>
        <v>0.53</v>
      </c>
      <c r="K18" s="207">
        <f t="shared" si="1"/>
        <v>19.03</v>
      </c>
      <c r="L18" s="204">
        <f t="shared" si="2"/>
        <v>16.25</v>
      </c>
      <c r="M18" s="207">
        <f t="shared" si="3"/>
        <v>97.5</v>
      </c>
      <c r="N18" s="204">
        <f t="shared" si="4"/>
        <v>143</v>
      </c>
      <c r="O18" s="204">
        <f t="shared" si="5"/>
        <v>6.89</v>
      </c>
      <c r="P18" s="204">
        <f t="shared" si="6"/>
        <v>247.39</v>
      </c>
    </row>
    <row r="19" spans="1:16" ht="25.5">
      <c r="A19" s="270" t="s">
        <v>787</v>
      </c>
      <c r="B19" s="270"/>
      <c r="C19" s="240" t="s">
        <v>799</v>
      </c>
      <c r="D19" s="241" t="s">
        <v>797</v>
      </c>
      <c r="E19" s="250">
        <v>2</v>
      </c>
      <c r="F19" s="275">
        <v>1.55</v>
      </c>
      <c r="G19" s="203">
        <v>6</v>
      </c>
      <c r="H19" s="144">
        <f t="shared" si="0"/>
        <v>9.3000000000000007</v>
      </c>
      <c r="I19" s="144">
        <v>7.86</v>
      </c>
      <c r="J19" s="276">
        <f t="shared" ref="J19:J20" si="8">ROUND(H19*0.07,2)</f>
        <v>0.65</v>
      </c>
      <c r="K19" s="207">
        <f t="shared" si="1"/>
        <v>17.809999999999999</v>
      </c>
      <c r="L19" s="204">
        <f t="shared" si="2"/>
        <v>3.1</v>
      </c>
      <c r="M19" s="207">
        <f t="shared" si="3"/>
        <v>18.600000000000001</v>
      </c>
      <c r="N19" s="204">
        <f t="shared" si="4"/>
        <v>15.72</v>
      </c>
      <c r="O19" s="204">
        <f t="shared" si="5"/>
        <v>1.3</v>
      </c>
      <c r="P19" s="204">
        <f t="shared" si="6"/>
        <v>35.619999999999997</v>
      </c>
    </row>
    <row r="20" spans="1:16" ht="25.5">
      <c r="A20" s="270" t="s">
        <v>788</v>
      </c>
      <c r="B20" s="270"/>
      <c r="C20" s="271" t="s">
        <v>800</v>
      </c>
      <c r="D20" s="241" t="s">
        <v>797</v>
      </c>
      <c r="E20" s="250">
        <v>2</v>
      </c>
      <c r="F20" s="275">
        <v>1.55</v>
      </c>
      <c r="G20" s="203">
        <v>6</v>
      </c>
      <c r="H20" s="144">
        <f t="shared" si="0"/>
        <v>9.3000000000000007</v>
      </c>
      <c r="I20" s="144">
        <v>19.11</v>
      </c>
      <c r="J20" s="276">
        <f t="shared" si="8"/>
        <v>0.65</v>
      </c>
      <c r="K20" s="207">
        <f t="shared" si="1"/>
        <v>29.06</v>
      </c>
      <c r="L20" s="204">
        <f t="shared" si="2"/>
        <v>3.1</v>
      </c>
      <c r="M20" s="207">
        <f t="shared" si="3"/>
        <v>18.600000000000001</v>
      </c>
      <c r="N20" s="204">
        <f t="shared" si="4"/>
        <v>38.22</v>
      </c>
      <c r="O20" s="204">
        <f t="shared" si="5"/>
        <v>1.3</v>
      </c>
      <c r="P20" s="204">
        <f t="shared" si="6"/>
        <v>58.12</v>
      </c>
    </row>
    <row r="21" spans="1:16" ht="25.5">
      <c r="A21" s="270" t="s">
        <v>789</v>
      </c>
      <c r="B21" s="270"/>
      <c r="C21" s="271" t="s">
        <v>801</v>
      </c>
      <c r="D21" s="241" t="s">
        <v>802</v>
      </c>
      <c r="E21" s="250">
        <v>5</v>
      </c>
      <c r="F21" s="202">
        <f>3/5</f>
        <v>0.6</v>
      </c>
      <c r="G21" s="203">
        <v>6</v>
      </c>
      <c r="H21" s="204">
        <f t="shared" si="0"/>
        <v>3.6</v>
      </c>
      <c r="I21" s="205">
        <v>3.6</v>
      </c>
      <c r="J21" s="206">
        <v>0.2</v>
      </c>
      <c r="K21" s="207">
        <f t="shared" si="1"/>
        <v>7.4</v>
      </c>
      <c r="L21" s="204">
        <f t="shared" si="2"/>
        <v>3</v>
      </c>
      <c r="M21" s="207">
        <f t="shared" si="3"/>
        <v>18</v>
      </c>
      <c r="N21" s="204">
        <f t="shared" si="4"/>
        <v>18</v>
      </c>
      <c r="O21" s="204">
        <f t="shared" si="5"/>
        <v>1</v>
      </c>
      <c r="P21" s="204">
        <f t="shared" si="6"/>
        <v>37</v>
      </c>
    </row>
    <row r="22" spans="1:16">
      <c r="A22" s="270" t="s">
        <v>790</v>
      </c>
      <c r="B22" s="270"/>
      <c r="C22" s="271" t="s">
        <v>803</v>
      </c>
      <c r="D22" s="241" t="s">
        <v>797</v>
      </c>
      <c r="E22" s="250">
        <v>3</v>
      </c>
      <c r="F22" s="275">
        <v>5.2</v>
      </c>
      <c r="G22" s="203">
        <v>6</v>
      </c>
      <c r="H22" s="144">
        <f t="shared" si="0"/>
        <v>31.2</v>
      </c>
      <c r="I22" s="144">
        <v>47.15</v>
      </c>
      <c r="J22" s="276">
        <f t="shared" ref="J22" si="9">ROUND(H22*0.07,2)</f>
        <v>2.1800000000000002</v>
      </c>
      <c r="K22" s="207">
        <f t="shared" si="1"/>
        <v>80.53</v>
      </c>
      <c r="L22" s="204">
        <f t="shared" si="2"/>
        <v>15.6</v>
      </c>
      <c r="M22" s="207">
        <f t="shared" si="3"/>
        <v>93.6</v>
      </c>
      <c r="N22" s="204">
        <f t="shared" si="4"/>
        <v>141.44999999999999</v>
      </c>
      <c r="O22" s="204">
        <f t="shared" si="5"/>
        <v>6.54</v>
      </c>
      <c r="P22" s="204">
        <f t="shared" si="6"/>
        <v>241.59</v>
      </c>
    </row>
    <row r="23" spans="1:16" ht="25.5">
      <c r="A23" s="270" t="s">
        <v>791</v>
      </c>
      <c r="B23" s="270"/>
      <c r="C23" s="271" t="s">
        <v>804</v>
      </c>
      <c r="D23" s="241" t="s">
        <v>797</v>
      </c>
      <c r="E23" s="250">
        <v>4</v>
      </c>
      <c r="F23" s="202">
        <v>1</v>
      </c>
      <c r="G23" s="203">
        <v>6</v>
      </c>
      <c r="H23" s="204">
        <f t="shared" si="0"/>
        <v>6</v>
      </c>
      <c r="I23" s="205">
        <v>6</v>
      </c>
      <c r="J23" s="206">
        <v>0.2</v>
      </c>
      <c r="K23" s="207">
        <f t="shared" si="1"/>
        <v>12.2</v>
      </c>
      <c r="L23" s="204">
        <f t="shared" si="2"/>
        <v>4</v>
      </c>
      <c r="M23" s="207">
        <f t="shared" si="3"/>
        <v>24</v>
      </c>
      <c r="N23" s="204">
        <f t="shared" si="4"/>
        <v>24</v>
      </c>
      <c r="O23" s="204">
        <f t="shared" si="5"/>
        <v>0.8</v>
      </c>
      <c r="P23" s="204">
        <f t="shared" si="6"/>
        <v>48.8</v>
      </c>
    </row>
    <row r="24" spans="1:16">
      <c r="A24" s="270" t="s">
        <v>792</v>
      </c>
      <c r="B24" s="270"/>
      <c r="C24" s="271" t="s">
        <v>805</v>
      </c>
      <c r="D24" s="241" t="s">
        <v>797</v>
      </c>
      <c r="E24" s="250">
        <v>3</v>
      </c>
      <c r="F24" s="202">
        <v>0.4</v>
      </c>
      <c r="G24" s="203">
        <v>6</v>
      </c>
      <c r="H24" s="204">
        <f t="shared" si="0"/>
        <v>2.4</v>
      </c>
      <c r="I24" s="205">
        <v>1.9</v>
      </c>
      <c r="J24" s="206">
        <v>0.2</v>
      </c>
      <c r="K24" s="207">
        <f t="shared" si="1"/>
        <v>4.5</v>
      </c>
      <c r="L24" s="204">
        <f t="shared" si="2"/>
        <v>1.2</v>
      </c>
      <c r="M24" s="207">
        <f t="shared" si="3"/>
        <v>7.2</v>
      </c>
      <c r="N24" s="204">
        <f t="shared" si="4"/>
        <v>5.7</v>
      </c>
      <c r="O24" s="204">
        <f t="shared" si="5"/>
        <v>0.6</v>
      </c>
      <c r="P24" s="204">
        <f t="shared" si="6"/>
        <v>13.5</v>
      </c>
    </row>
    <row r="25" spans="1:16" ht="38.25">
      <c r="A25" s="270" t="s">
        <v>793</v>
      </c>
      <c r="B25" s="270"/>
      <c r="C25" s="271" t="s">
        <v>970</v>
      </c>
      <c r="D25" s="241" t="s">
        <v>0</v>
      </c>
      <c r="E25" s="250">
        <v>325</v>
      </c>
      <c r="F25" s="202">
        <v>0.2</v>
      </c>
      <c r="G25" s="203">
        <v>6</v>
      </c>
      <c r="H25" s="204">
        <f t="shared" si="0"/>
        <v>1.2</v>
      </c>
      <c r="I25" s="205">
        <v>0.43</v>
      </c>
      <c r="J25" s="206">
        <v>0.1</v>
      </c>
      <c r="K25" s="207">
        <f t="shared" si="1"/>
        <v>1.73</v>
      </c>
      <c r="L25" s="204">
        <f t="shared" si="2"/>
        <v>65</v>
      </c>
      <c r="M25" s="207">
        <f t="shared" si="3"/>
        <v>390</v>
      </c>
      <c r="N25" s="204">
        <f t="shared" si="4"/>
        <v>139.75</v>
      </c>
      <c r="O25" s="204">
        <f t="shared" si="5"/>
        <v>32.5</v>
      </c>
      <c r="P25" s="204">
        <f t="shared" si="6"/>
        <v>562.25</v>
      </c>
    </row>
    <row r="26" spans="1:16" ht="25.5">
      <c r="A26" s="270" t="s">
        <v>794</v>
      </c>
      <c r="B26" s="270"/>
      <c r="C26" s="271" t="s">
        <v>806</v>
      </c>
      <c r="D26" s="241" t="s">
        <v>0</v>
      </c>
      <c r="E26" s="250">
        <v>300</v>
      </c>
      <c r="F26" s="202">
        <v>0.1</v>
      </c>
      <c r="G26" s="203">
        <v>6</v>
      </c>
      <c r="H26" s="204">
        <f t="shared" si="0"/>
        <v>0.6</v>
      </c>
      <c r="I26" s="205">
        <v>0.3</v>
      </c>
      <c r="J26" s="206">
        <v>0.1</v>
      </c>
      <c r="K26" s="207">
        <f t="shared" si="1"/>
        <v>1</v>
      </c>
      <c r="L26" s="204">
        <f t="shared" si="2"/>
        <v>30</v>
      </c>
      <c r="M26" s="207">
        <f t="shared" si="3"/>
        <v>180</v>
      </c>
      <c r="N26" s="204">
        <f t="shared" si="4"/>
        <v>90</v>
      </c>
      <c r="O26" s="204">
        <f t="shared" si="5"/>
        <v>30</v>
      </c>
      <c r="P26" s="204">
        <f t="shared" si="6"/>
        <v>300</v>
      </c>
    </row>
    <row r="27" spans="1:16">
      <c r="A27" s="270" t="s">
        <v>795</v>
      </c>
      <c r="B27" s="270"/>
      <c r="C27" s="271" t="s">
        <v>807</v>
      </c>
      <c r="D27" s="241" t="s">
        <v>797</v>
      </c>
      <c r="E27" s="250">
        <v>1</v>
      </c>
      <c r="F27" s="202">
        <v>3</v>
      </c>
      <c r="G27" s="203">
        <v>6</v>
      </c>
      <c r="H27" s="204">
        <f t="shared" si="0"/>
        <v>18</v>
      </c>
      <c r="I27" s="205">
        <v>18.600000000000001</v>
      </c>
      <c r="J27" s="206">
        <v>0.5</v>
      </c>
      <c r="K27" s="207">
        <f t="shared" si="1"/>
        <v>37.1</v>
      </c>
      <c r="L27" s="204">
        <f t="shared" si="2"/>
        <v>3</v>
      </c>
      <c r="M27" s="207">
        <f t="shared" si="3"/>
        <v>18</v>
      </c>
      <c r="N27" s="204">
        <f t="shared" si="4"/>
        <v>18.600000000000001</v>
      </c>
      <c r="O27" s="204">
        <f t="shared" si="5"/>
        <v>0.5</v>
      </c>
      <c r="P27" s="204">
        <f t="shared" si="6"/>
        <v>37.1</v>
      </c>
    </row>
    <row r="28" spans="1:16" ht="15">
      <c r="A28" s="199"/>
      <c r="B28" s="199"/>
      <c r="C28" s="200"/>
      <c r="D28" s="154"/>
      <c r="E28" s="201"/>
      <c r="F28" s="202"/>
      <c r="G28" s="203"/>
      <c r="H28" s="204"/>
      <c r="I28" s="205"/>
      <c r="J28" s="206"/>
      <c r="K28" s="207"/>
      <c r="L28" s="204"/>
      <c r="M28" s="207"/>
      <c r="N28" s="204"/>
      <c r="O28" s="204"/>
      <c r="P28" s="204"/>
    </row>
    <row r="29" spans="1:16">
      <c r="A29" s="208"/>
      <c r="B29" s="208"/>
      <c r="C29" s="209" t="s">
        <v>1112</v>
      </c>
      <c r="D29" s="210"/>
      <c r="E29" s="211"/>
      <c r="F29" s="212"/>
      <c r="G29" s="212"/>
      <c r="H29" s="212"/>
      <c r="I29" s="212"/>
      <c r="J29" s="213"/>
      <c r="K29" s="213"/>
      <c r="L29" s="214">
        <f>SUM(L17:L28)</f>
        <v>147.25</v>
      </c>
      <c r="M29" s="214">
        <f t="shared" ref="M29:P29" si="10">SUM(M17:M28)</f>
        <v>883.5</v>
      </c>
      <c r="N29" s="214">
        <f t="shared" si="10"/>
        <v>682.44</v>
      </c>
      <c r="O29" s="214">
        <f t="shared" si="10"/>
        <v>81.93</v>
      </c>
      <c r="P29" s="214">
        <f t="shared" si="10"/>
        <v>1647.87</v>
      </c>
    </row>
    <row r="30" spans="1:16" ht="15" customHeight="1">
      <c r="A30" s="215" t="s">
        <v>1113</v>
      </c>
      <c r="B30" s="215"/>
      <c r="C30" s="216"/>
      <c r="D30" s="215"/>
      <c r="E30" s="217"/>
      <c r="F30" s="217"/>
      <c r="G30" s="217"/>
      <c r="H30" s="217"/>
      <c r="I30" s="217"/>
      <c r="J30" s="217"/>
      <c r="K30" s="217"/>
      <c r="L30" s="218"/>
      <c r="M30" s="218"/>
      <c r="N30" s="218"/>
      <c r="O30" s="218"/>
      <c r="P30" s="218"/>
    </row>
    <row r="31" spans="1:16" ht="15.75">
      <c r="A31" s="219"/>
      <c r="B31" s="219"/>
      <c r="C31" s="220"/>
      <c r="D31" s="219"/>
      <c r="E31" s="219"/>
      <c r="F31" s="219"/>
      <c r="G31" s="219"/>
      <c r="H31" s="219"/>
      <c r="I31" s="219"/>
      <c r="J31" s="219"/>
      <c r="K31" s="219"/>
      <c r="L31" s="219"/>
      <c r="M31" s="219"/>
      <c r="N31" s="219"/>
      <c r="O31" s="219"/>
      <c r="P31" s="219"/>
    </row>
    <row r="32" spans="1:16" ht="15">
      <c r="A32" s="219"/>
      <c r="B32" s="219"/>
      <c r="C32" s="219"/>
      <c r="D32" s="219"/>
      <c r="E32" s="219"/>
      <c r="F32" s="219"/>
      <c r="G32" s="219"/>
      <c r="H32" s="219"/>
      <c r="I32" s="219"/>
      <c r="J32" s="219"/>
      <c r="K32" s="219"/>
      <c r="L32" s="219"/>
      <c r="M32" s="219"/>
      <c r="N32" s="219"/>
      <c r="O32" s="219"/>
      <c r="P32" s="219"/>
    </row>
    <row r="33" spans="1:16" ht="15">
      <c r="A33" s="219"/>
      <c r="B33" s="219"/>
      <c r="C33" s="221" t="s">
        <v>1114</v>
      </c>
      <c r="D33" s="221"/>
      <c r="E33" s="221"/>
      <c r="F33" s="221"/>
      <c r="G33" s="222"/>
      <c r="H33" s="223"/>
      <c r="I33" s="223" t="s">
        <v>1115</v>
      </c>
      <c r="J33" s="222" t="s">
        <v>1116</v>
      </c>
      <c r="K33" s="222"/>
      <c r="L33" s="222"/>
      <c r="M33" s="222"/>
      <c r="N33" s="224"/>
      <c r="O33" s="219"/>
      <c r="P33" s="219"/>
    </row>
    <row r="34" spans="1:16" ht="15" customHeight="1">
      <c r="A34" s="219"/>
      <c r="B34" s="219"/>
      <c r="C34" s="225" t="s">
        <v>1097</v>
      </c>
      <c r="D34" s="225"/>
      <c r="E34" s="225"/>
      <c r="F34" s="225"/>
      <c r="G34" s="222"/>
      <c r="H34" s="222"/>
      <c r="I34" s="222"/>
      <c r="J34" s="312" t="s">
        <v>1097</v>
      </c>
      <c r="K34" s="312"/>
      <c r="L34" s="312"/>
      <c r="M34" s="312"/>
      <c r="N34" s="224"/>
      <c r="O34" s="219"/>
      <c r="P34" s="219"/>
    </row>
    <row r="35" spans="1:16" ht="15">
      <c r="A35" s="219"/>
      <c r="B35" s="219"/>
      <c r="C35" s="222" t="s">
        <v>1075</v>
      </c>
      <c r="D35" s="222"/>
      <c r="E35" s="222"/>
      <c r="F35" s="222"/>
      <c r="G35" s="222"/>
      <c r="H35" s="222"/>
      <c r="I35" s="222" t="s">
        <v>1078</v>
      </c>
      <c r="J35" s="222"/>
      <c r="K35" s="222"/>
      <c r="L35" s="222"/>
      <c r="M35" s="222"/>
      <c r="N35" s="224"/>
      <c r="O35" s="219"/>
      <c r="P35" s="219"/>
    </row>
    <row r="36" spans="1:16">
      <c r="A36" s="166"/>
      <c r="B36" s="166"/>
    </row>
    <row r="37" spans="1:16" ht="15" customHeight="1">
      <c r="A37" s="166"/>
      <c r="B37" s="166"/>
    </row>
    <row r="38" spans="1:16" s="157" customFormat="1">
      <c r="A38" s="166"/>
      <c r="B38" s="166"/>
      <c r="C38" s="121"/>
      <c r="D38" s="121"/>
      <c r="E38" s="121"/>
      <c r="F38" s="121"/>
      <c r="G38" s="121"/>
      <c r="H38" s="121"/>
      <c r="I38" s="121"/>
      <c r="J38" s="121"/>
      <c r="K38" s="121"/>
      <c r="L38" s="121"/>
      <c r="M38" s="121"/>
      <c r="N38" s="121"/>
      <c r="O38" s="121"/>
      <c r="P38" s="121"/>
    </row>
    <row r="39" spans="1:16">
      <c r="A39" s="166"/>
      <c r="B39" s="166"/>
    </row>
    <row r="40" spans="1:16">
      <c r="A40" s="166"/>
      <c r="B40" s="166"/>
    </row>
  </sheetData>
  <mergeCells count="15">
    <mergeCell ref="A9:E9"/>
    <mergeCell ref="A2:E2"/>
    <mergeCell ref="A4:E4"/>
    <mergeCell ref="A5:E5"/>
    <mergeCell ref="A7:E7"/>
    <mergeCell ref="A8:E8"/>
    <mergeCell ref="F14:K14"/>
    <mergeCell ref="L14:P14"/>
    <mergeCell ref="J34:M34"/>
    <mergeCell ref="A12:E12"/>
    <mergeCell ref="A14:A15"/>
    <mergeCell ref="C14:C15"/>
    <mergeCell ref="D14:D15"/>
    <mergeCell ref="E14:E15"/>
    <mergeCell ref="B14:B15"/>
  </mergeCells>
  <pageMargins left="0.98" right="0.70866141732283472" top="0.74803149606299213" bottom="0.74803149606299213" header="0.31496062992125984" footer="0.31496062992125984"/>
  <pageSetup paperSize="8"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P86"/>
  <sheetViews>
    <sheetView showZeros="0" topLeftCell="A12" zoomScale="90" zoomScaleNormal="90" workbookViewId="0">
      <selection activeCell="P78" sqref="P78"/>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36</v>
      </c>
      <c r="B2" s="313"/>
      <c r="C2" s="313"/>
      <c r="D2" s="313"/>
      <c r="E2" s="313"/>
    </row>
    <row r="3" spans="1:16">
      <c r="A3" s="122"/>
      <c r="B3" s="122"/>
      <c r="C3" s="122"/>
      <c r="D3" s="122"/>
      <c r="E3" s="122"/>
    </row>
    <row r="4" spans="1:16">
      <c r="A4" s="314" t="s">
        <v>389</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row>
    <row r="8" spans="1:16" s="124" customFormat="1" ht="12.75" customHeight="1">
      <c r="A8" s="281" t="s">
        <v>151</v>
      </c>
      <c r="B8" s="281"/>
      <c r="C8" s="281"/>
      <c r="D8" s="281"/>
      <c r="E8" s="281"/>
      <c r="F8" s="1"/>
      <c r="G8" s="1"/>
      <c r="H8" s="1"/>
    </row>
    <row r="9" spans="1:16" s="124" customFormat="1">
      <c r="A9" s="282" t="s">
        <v>152</v>
      </c>
      <c r="B9" s="282"/>
      <c r="C9" s="282"/>
      <c r="D9" s="282"/>
      <c r="E9" s="282"/>
      <c r="N9" s="159"/>
      <c r="O9" s="159"/>
    </row>
    <row r="10" spans="1:16" s="124" customFormat="1" ht="15" customHeight="1">
      <c r="A10" s="124" t="s">
        <v>17</v>
      </c>
    </row>
    <row r="11" spans="1:16" s="124" customFormat="1">
      <c r="A11" s="125"/>
      <c r="B11" s="125"/>
      <c r="C11" s="125"/>
      <c r="D11" s="125"/>
      <c r="E11" s="125"/>
    </row>
    <row r="12" spans="1:16" s="124" customFormat="1" ht="15" customHeight="1">
      <c r="A12" s="282" t="s">
        <v>48</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635</v>
      </c>
      <c r="B16" s="126"/>
      <c r="C16" s="24" t="s">
        <v>691</v>
      </c>
      <c r="D16" s="173"/>
      <c r="E16" s="173"/>
      <c r="F16" s="227"/>
      <c r="G16" s="227"/>
      <c r="H16" s="227"/>
      <c r="I16" s="227"/>
      <c r="J16" s="227"/>
      <c r="K16" s="227"/>
      <c r="L16" s="227"/>
      <c r="M16" s="227"/>
      <c r="N16" s="227"/>
      <c r="O16" s="227"/>
      <c r="P16" s="227"/>
    </row>
    <row r="17" spans="1:16">
      <c r="A17" s="129" t="s">
        <v>636</v>
      </c>
      <c r="B17" s="129"/>
      <c r="C17" s="25" t="s">
        <v>692</v>
      </c>
      <c r="D17" s="26"/>
      <c r="E17" s="178"/>
      <c r="F17" s="227"/>
      <c r="G17" s="227"/>
      <c r="H17" s="227"/>
      <c r="I17" s="227"/>
      <c r="J17" s="227"/>
      <c r="K17" s="227"/>
      <c r="L17" s="227"/>
      <c r="M17" s="227"/>
      <c r="N17" s="227"/>
      <c r="O17" s="227"/>
      <c r="P17" s="227"/>
    </row>
    <row r="18" spans="1:16">
      <c r="A18" s="129" t="s">
        <v>637</v>
      </c>
      <c r="B18" s="129"/>
      <c r="C18" s="27" t="s">
        <v>693</v>
      </c>
      <c r="D18" s="26" t="s">
        <v>43</v>
      </c>
      <c r="E18" s="176">
        <v>5.3</v>
      </c>
      <c r="F18" s="202">
        <v>0.2</v>
      </c>
      <c r="G18" s="203">
        <v>6</v>
      </c>
      <c r="H18" s="204">
        <f t="shared" ref="H18" si="0">ROUND(G18*F18,2)</f>
        <v>1.2</v>
      </c>
      <c r="I18" s="205"/>
      <c r="J18" s="206">
        <v>1</v>
      </c>
      <c r="K18" s="207">
        <f t="shared" ref="K18:K73" si="1">SUM(H18:J18)</f>
        <v>2.2000000000000002</v>
      </c>
      <c r="L18" s="204">
        <f t="shared" ref="L18:L73" si="2">ROUND(F18*E18,2)</f>
        <v>1.06</v>
      </c>
      <c r="M18" s="207">
        <f t="shared" ref="M18:M73" si="3">ROUND(H18*E18,2)</f>
        <v>6.36</v>
      </c>
      <c r="N18" s="204">
        <f t="shared" ref="N18:N73" si="4">ROUND(I18*E18,2)</f>
        <v>0</v>
      </c>
      <c r="O18" s="204">
        <f t="shared" ref="O18:O73" si="5">ROUND(J18*E18,2)</f>
        <v>5.3</v>
      </c>
      <c r="P18" s="204">
        <f t="shared" ref="P18:P73" si="6">SUM(M18:O18)</f>
        <v>11.66</v>
      </c>
    </row>
    <row r="19" spans="1:16" ht="25.5">
      <c r="A19" s="129" t="s">
        <v>638</v>
      </c>
      <c r="B19" s="129"/>
      <c r="C19" s="2" t="s">
        <v>694</v>
      </c>
      <c r="D19" s="134" t="s">
        <v>0</v>
      </c>
      <c r="E19" s="176">
        <f>19+2.6</f>
        <v>21.6</v>
      </c>
      <c r="F19" s="202">
        <f>2/5</f>
        <v>0.4</v>
      </c>
      <c r="G19" s="203">
        <v>6</v>
      </c>
      <c r="H19" s="204">
        <f t="shared" ref="H19:H67" si="7">ROUND(G19*F19,2)</f>
        <v>2.4</v>
      </c>
      <c r="I19" s="205"/>
      <c r="J19" s="206">
        <v>1.5</v>
      </c>
      <c r="K19" s="207">
        <f t="shared" si="1"/>
        <v>3.9</v>
      </c>
      <c r="L19" s="204">
        <f t="shared" si="2"/>
        <v>8.64</v>
      </c>
      <c r="M19" s="207">
        <f t="shared" si="3"/>
        <v>51.84</v>
      </c>
      <c r="N19" s="204">
        <f t="shared" si="4"/>
        <v>0</v>
      </c>
      <c r="O19" s="204">
        <f t="shared" si="5"/>
        <v>32.4</v>
      </c>
      <c r="P19" s="204">
        <f t="shared" si="6"/>
        <v>84.24</v>
      </c>
    </row>
    <row r="20" spans="1:16">
      <c r="A20" s="129" t="s">
        <v>639</v>
      </c>
      <c r="B20" s="129"/>
      <c r="C20" s="25" t="s">
        <v>44</v>
      </c>
      <c r="D20" s="173"/>
      <c r="E20" s="173"/>
      <c r="F20" s="202"/>
      <c r="G20" s="203">
        <v>6</v>
      </c>
      <c r="H20" s="204">
        <f t="shared" si="7"/>
        <v>0</v>
      </c>
      <c r="I20" s="205"/>
      <c r="J20" s="206"/>
      <c r="K20" s="207">
        <f t="shared" si="1"/>
        <v>0</v>
      </c>
      <c r="L20" s="204">
        <f t="shared" si="2"/>
        <v>0</v>
      </c>
      <c r="M20" s="207">
        <f t="shared" si="3"/>
        <v>0</v>
      </c>
      <c r="N20" s="204">
        <f t="shared" si="4"/>
        <v>0</v>
      </c>
      <c r="O20" s="204">
        <f t="shared" si="5"/>
        <v>0</v>
      </c>
      <c r="P20" s="204">
        <f t="shared" si="6"/>
        <v>0</v>
      </c>
    </row>
    <row r="21" spans="1:16" ht="25.5">
      <c r="A21" s="129" t="s">
        <v>640</v>
      </c>
      <c r="B21" s="129"/>
      <c r="C21" s="28" t="s">
        <v>695</v>
      </c>
      <c r="D21" s="17" t="s">
        <v>157</v>
      </c>
      <c r="E21" s="174">
        <f>5.3*1.2*0.1</f>
        <v>0.64</v>
      </c>
      <c r="F21" s="202">
        <f>3/5</f>
        <v>0.6</v>
      </c>
      <c r="G21" s="203">
        <v>6</v>
      </c>
      <c r="H21" s="204">
        <f t="shared" si="7"/>
        <v>3.6</v>
      </c>
      <c r="I21" s="205"/>
      <c r="J21" s="206">
        <v>5</v>
      </c>
      <c r="K21" s="207">
        <f t="shared" si="1"/>
        <v>8.6</v>
      </c>
      <c r="L21" s="204">
        <f t="shared" si="2"/>
        <v>0.38</v>
      </c>
      <c r="M21" s="207">
        <f t="shared" si="3"/>
        <v>2.2999999999999998</v>
      </c>
      <c r="N21" s="204">
        <f t="shared" si="4"/>
        <v>0</v>
      </c>
      <c r="O21" s="204">
        <f t="shared" si="5"/>
        <v>3.2</v>
      </c>
      <c r="P21" s="204">
        <f t="shared" si="6"/>
        <v>5.5</v>
      </c>
    </row>
    <row r="22" spans="1:16" ht="38.25">
      <c r="A22" s="129" t="s">
        <v>641</v>
      </c>
      <c r="B22" s="129"/>
      <c r="C22" s="29" t="s">
        <v>696</v>
      </c>
      <c r="D22" s="26"/>
      <c r="E22" s="176"/>
      <c r="F22" s="202"/>
      <c r="G22" s="203">
        <v>6</v>
      </c>
      <c r="H22" s="204">
        <f t="shared" si="7"/>
        <v>0</v>
      </c>
      <c r="I22" s="205"/>
      <c r="J22" s="206"/>
      <c r="K22" s="207">
        <f t="shared" si="1"/>
        <v>0</v>
      </c>
      <c r="L22" s="204">
        <f t="shared" si="2"/>
        <v>0</v>
      </c>
      <c r="M22" s="207">
        <f t="shared" si="3"/>
        <v>0</v>
      </c>
      <c r="N22" s="204">
        <f t="shared" si="4"/>
        <v>0</v>
      </c>
      <c r="O22" s="204">
        <f t="shared" si="5"/>
        <v>0</v>
      </c>
      <c r="P22" s="204">
        <f t="shared" si="6"/>
        <v>0</v>
      </c>
    </row>
    <row r="23" spans="1:16">
      <c r="A23" s="129" t="s">
        <v>642</v>
      </c>
      <c r="B23" s="129"/>
      <c r="C23" s="30" t="s">
        <v>697</v>
      </c>
      <c r="D23" s="26" t="s">
        <v>0</v>
      </c>
      <c r="E23" s="176">
        <f>5.3</f>
        <v>5.3</v>
      </c>
      <c r="F23" s="202">
        <v>0.3</v>
      </c>
      <c r="G23" s="203">
        <v>6</v>
      </c>
      <c r="H23" s="204">
        <f t="shared" si="7"/>
        <v>1.8</v>
      </c>
      <c r="I23" s="205"/>
      <c r="J23" s="206">
        <v>5</v>
      </c>
      <c r="K23" s="207">
        <f t="shared" si="1"/>
        <v>6.8</v>
      </c>
      <c r="L23" s="204">
        <f t="shared" si="2"/>
        <v>1.59</v>
      </c>
      <c r="M23" s="207">
        <f t="shared" si="3"/>
        <v>9.5399999999999991</v>
      </c>
      <c r="N23" s="204">
        <f t="shared" si="4"/>
        <v>0</v>
      </c>
      <c r="O23" s="204">
        <f t="shared" si="5"/>
        <v>26.5</v>
      </c>
      <c r="P23" s="204">
        <f t="shared" si="6"/>
        <v>36.04</v>
      </c>
    </row>
    <row r="24" spans="1:16" ht="25.5">
      <c r="A24" s="129" t="s">
        <v>643</v>
      </c>
      <c r="B24" s="129"/>
      <c r="C24" s="29" t="s">
        <v>698</v>
      </c>
      <c r="D24" s="26"/>
      <c r="E24" s="176"/>
      <c r="F24" s="202"/>
      <c r="G24" s="203">
        <v>6</v>
      </c>
      <c r="H24" s="204">
        <f t="shared" si="7"/>
        <v>0</v>
      </c>
      <c r="I24" s="205"/>
      <c r="J24" s="206"/>
      <c r="K24" s="207">
        <f t="shared" si="1"/>
        <v>0</v>
      </c>
      <c r="L24" s="204">
        <f t="shared" si="2"/>
        <v>0</v>
      </c>
      <c r="M24" s="207">
        <f t="shared" si="3"/>
        <v>0</v>
      </c>
      <c r="N24" s="204">
        <f t="shared" si="4"/>
        <v>0</v>
      </c>
      <c r="O24" s="204">
        <f t="shared" si="5"/>
        <v>0</v>
      </c>
      <c r="P24" s="204">
        <f t="shared" si="6"/>
        <v>0</v>
      </c>
    </row>
    <row r="25" spans="1:16" ht="38.25">
      <c r="A25" s="129" t="s">
        <v>644</v>
      </c>
      <c r="B25" s="129"/>
      <c r="C25" s="179" t="s">
        <v>699</v>
      </c>
      <c r="D25" s="26" t="s">
        <v>16</v>
      </c>
      <c r="E25" s="176">
        <v>5.8</v>
      </c>
      <c r="F25" s="202">
        <v>0.5</v>
      </c>
      <c r="G25" s="203">
        <v>6</v>
      </c>
      <c r="H25" s="204">
        <f t="shared" si="7"/>
        <v>3</v>
      </c>
      <c r="I25" s="205"/>
      <c r="J25" s="206">
        <v>4</v>
      </c>
      <c r="K25" s="207">
        <f t="shared" si="1"/>
        <v>7</v>
      </c>
      <c r="L25" s="204">
        <f t="shared" si="2"/>
        <v>2.9</v>
      </c>
      <c r="M25" s="207">
        <f t="shared" si="3"/>
        <v>17.399999999999999</v>
      </c>
      <c r="N25" s="204">
        <f t="shared" si="4"/>
        <v>0</v>
      </c>
      <c r="O25" s="204">
        <f t="shared" si="5"/>
        <v>23.2</v>
      </c>
      <c r="P25" s="204">
        <f t="shared" si="6"/>
        <v>40.6</v>
      </c>
    </row>
    <row r="26" spans="1:16">
      <c r="A26" s="129" t="s">
        <v>645</v>
      </c>
      <c r="B26" s="129"/>
      <c r="C26" s="179" t="s">
        <v>700</v>
      </c>
      <c r="D26" s="26" t="s">
        <v>16</v>
      </c>
      <c r="E26" s="176">
        <v>3.74</v>
      </c>
      <c r="F26" s="202">
        <v>0.1</v>
      </c>
      <c r="G26" s="203">
        <v>6</v>
      </c>
      <c r="H26" s="204">
        <f t="shared" si="7"/>
        <v>0.6</v>
      </c>
      <c r="I26" s="205"/>
      <c r="J26" s="206">
        <v>3</v>
      </c>
      <c r="K26" s="207">
        <f t="shared" si="1"/>
        <v>3.6</v>
      </c>
      <c r="L26" s="204">
        <f t="shared" si="2"/>
        <v>0.37</v>
      </c>
      <c r="M26" s="207">
        <f t="shared" si="3"/>
        <v>2.2400000000000002</v>
      </c>
      <c r="N26" s="204">
        <f t="shared" si="4"/>
        <v>0</v>
      </c>
      <c r="O26" s="204">
        <f t="shared" si="5"/>
        <v>11.22</v>
      </c>
      <c r="P26" s="204">
        <f t="shared" si="6"/>
        <v>13.46</v>
      </c>
    </row>
    <row r="27" spans="1:16">
      <c r="A27" s="129" t="s">
        <v>646</v>
      </c>
      <c r="B27" s="129"/>
      <c r="C27" s="25" t="s">
        <v>701</v>
      </c>
      <c r="D27" s="26"/>
      <c r="E27" s="176"/>
      <c r="F27" s="202"/>
      <c r="G27" s="203">
        <v>6</v>
      </c>
      <c r="H27" s="204">
        <f t="shared" si="7"/>
        <v>0</v>
      </c>
      <c r="I27" s="205"/>
      <c r="J27" s="206"/>
      <c r="K27" s="207">
        <f t="shared" si="1"/>
        <v>0</v>
      </c>
      <c r="L27" s="204">
        <f t="shared" si="2"/>
        <v>0</v>
      </c>
      <c r="M27" s="207">
        <f t="shared" si="3"/>
        <v>0</v>
      </c>
      <c r="N27" s="204">
        <f t="shared" si="4"/>
        <v>0</v>
      </c>
      <c r="O27" s="204">
        <f t="shared" si="5"/>
        <v>0</v>
      </c>
      <c r="P27" s="204">
        <f t="shared" si="6"/>
        <v>0</v>
      </c>
    </row>
    <row r="28" spans="1:16">
      <c r="A28" s="129" t="s">
        <v>647</v>
      </c>
      <c r="B28" s="129"/>
      <c r="C28" s="29" t="s">
        <v>702</v>
      </c>
      <c r="D28" s="26"/>
      <c r="E28" s="176"/>
      <c r="F28" s="202"/>
      <c r="G28" s="203">
        <v>6</v>
      </c>
      <c r="H28" s="204">
        <f t="shared" si="7"/>
        <v>0</v>
      </c>
      <c r="I28" s="205"/>
      <c r="J28" s="206"/>
      <c r="K28" s="207">
        <f t="shared" si="1"/>
        <v>0</v>
      </c>
      <c r="L28" s="204">
        <f t="shared" si="2"/>
        <v>0</v>
      </c>
      <c r="M28" s="207">
        <f t="shared" si="3"/>
        <v>0</v>
      </c>
      <c r="N28" s="204">
        <f t="shared" si="4"/>
        <v>0</v>
      </c>
      <c r="O28" s="204">
        <f t="shared" si="5"/>
        <v>0</v>
      </c>
      <c r="P28" s="204">
        <f t="shared" si="6"/>
        <v>0</v>
      </c>
    </row>
    <row r="29" spans="1:16" ht="25.5">
      <c r="A29" s="129" t="s">
        <v>648</v>
      </c>
      <c r="B29" s="129"/>
      <c r="C29" s="30" t="s">
        <v>703</v>
      </c>
      <c r="D29" s="26" t="s">
        <v>20</v>
      </c>
      <c r="E29" s="176">
        <f>E23*1.2</f>
        <v>6.36</v>
      </c>
      <c r="F29" s="202">
        <v>0.2</v>
      </c>
      <c r="G29" s="203">
        <v>6</v>
      </c>
      <c r="H29" s="204">
        <f t="shared" si="7"/>
        <v>1.2</v>
      </c>
      <c r="I29" s="205">
        <f>8*0.15</f>
        <v>1.2</v>
      </c>
      <c r="J29" s="205">
        <f>8*0.15</f>
        <v>1.2</v>
      </c>
      <c r="K29" s="207">
        <f t="shared" si="1"/>
        <v>3.6</v>
      </c>
      <c r="L29" s="204">
        <f t="shared" si="2"/>
        <v>1.27</v>
      </c>
      <c r="M29" s="207">
        <f t="shared" si="3"/>
        <v>7.63</v>
      </c>
      <c r="N29" s="204">
        <f t="shared" si="4"/>
        <v>7.63</v>
      </c>
      <c r="O29" s="204">
        <f t="shared" si="5"/>
        <v>7.63</v>
      </c>
      <c r="P29" s="204">
        <f t="shared" si="6"/>
        <v>22.89</v>
      </c>
    </row>
    <row r="30" spans="1:16" ht="25.5">
      <c r="A30" s="129" t="s">
        <v>649</v>
      </c>
      <c r="B30" s="129"/>
      <c r="C30" s="30" t="s">
        <v>704</v>
      </c>
      <c r="D30" s="26" t="s">
        <v>0</v>
      </c>
      <c r="E30" s="176">
        <f>5.3</f>
        <v>5.3</v>
      </c>
      <c r="F30" s="202">
        <f>6/5</f>
        <v>1.2</v>
      </c>
      <c r="G30" s="203">
        <v>6</v>
      </c>
      <c r="H30" s="204">
        <f t="shared" si="7"/>
        <v>7.2</v>
      </c>
      <c r="I30" s="205">
        <v>4.5999999999999996</v>
      </c>
      <c r="J30" s="206">
        <v>0.2</v>
      </c>
      <c r="K30" s="207">
        <f t="shared" si="1"/>
        <v>12</v>
      </c>
      <c r="L30" s="204">
        <f t="shared" si="2"/>
        <v>6.36</v>
      </c>
      <c r="M30" s="207">
        <f t="shared" si="3"/>
        <v>38.159999999999997</v>
      </c>
      <c r="N30" s="204">
        <f t="shared" si="4"/>
        <v>24.38</v>
      </c>
      <c r="O30" s="204">
        <f t="shared" si="5"/>
        <v>1.06</v>
      </c>
      <c r="P30" s="204">
        <f t="shared" si="6"/>
        <v>63.6</v>
      </c>
    </row>
    <row r="31" spans="1:16" ht="25.5">
      <c r="A31" s="129" t="s">
        <v>650</v>
      </c>
      <c r="B31" s="129"/>
      <c r="C31" s="30" t="s">
        <v>705</v>
      </c>
      <c r="D31" s="26" t="s">
        <v>20</v>
      </c>
      <c r="E31" s="176">
        <f>E29</f>
        <v>6.36</v>
      </c>
      <c r="F31" s="202">
        <v>0.2</v>
      </c>
      <c r="G31" s="203">
        <v>6</v>
      </c>
      <c r="H31" s="204">
        <f t="shared" si="7"/>
        <v>1.2</v>
      </c>
      <c r="I31" s="205">
        <f>8*0.15</f>
        <v>1.2</v>
      </c>
      <c r="J31" s="205">
        <f>8*0.15</f>
        <v>1.2</v>
      </c>
      <c r="K31" s="207">
        <f t="shared" si="1"/>
        <v>3.6</v>
      </c>
      <c r="L31" s="204">
        <f t="shared" si="2"/>
        <v>1.27</v>
      </c>
      <c r="M31" s="207">
        <f t="shared" si="3"/>
        <v>7.63</v>
      </c>
      <c r="N31" s="204">
        <f t="shared" si="4"/>
        <v>7.63</v>
      </c>
      <c r="O31" s="204">
        <f t="shared" si="5"/>
        <v>7.63</v>
      </c>
      <c r="P31" s="204">
        <f t="shared" si="6"/>
        <v>22.89</v>
      </c>
    </row>
    <row r="32" spans="1:16">
      <c r="A32" s="129" t="s">
        <v>651</v>
      </c>
      <c r="B32" s="129"/>
      <c r="C32" s="180" t="s">
        <v>706</v>
      </c>
      <c r="D32" s="26" t="s">
        <v>707</v>
      </c>
      <c r="E32" s="176">
        <v>0.01</v>
      </c>
      <c r="F32" s="202">
        <v>4</v>
      </c>
      <c r="G32" s="203">
        <v>6</v>
      </c>
      <c r="H32" s="204">
        <f t="shared" si="7"/>
        <v>24</v>
      </c>
      <c r="I32" s="205">
        <v>50</v>
      </c>
      <c r="J32" s="206">
        <v>10</v>
      </c>
      <c r="K32" s="207">
        <f t="shared" si="1"/>
        <v>84</v>
      </c>
      <c r="L32" s="204">
        <f t="shared" si="2"/>
        <v>0.04</v>
      </c>
      <c r="M32" s="207">
        <f t="shared" si="3"/>
        <v>0.24</v>
      </c>
      <c r="N32" s="204">
        <f t="shared" si="4"/>
        <v>0.5</v>
      </c>
      <c r="O32" s="204">
        <f t="shared" si="5"/>
        <v>0.1</v>
      </c>
      <c r="P32" s="204">
        <f t="shared" si="6"/>
        <v>0.84</v>
      </c>
    </row>
    <row r="33" spans="1:16">
      <c r="A33" s="129" t="s">
        <v>652</v>
      </c>
      <c r="B33" s="129"/>
      <c r="C33" s="29" t="s">
        <v>708</v>
      </c>
      <c r="D33" s="26"/>
      <c r="E33" s="176"/>
      <c r="F33" s="202"/>
      <c r="G33" s="203">
        <v>6</v>
      </c>
      <c r="H33" s="204">
        <f t="shared" si="7"/>
        <v>0</v>
      </c>
      <c r="I33" s="205"/>
      <c r="J33" s="206"/>
      <c r="K33" s="207">
        <f t="shared" si="1"/>
        <v>0</v>
      </c>
      <c r="L33" s="204">
        <f t="shared" si="2"/>
        <v>0</v>
      </c>
      <c r="M33" s="207">
        <f t="shared" si="3"/>
        <v>0</v>
      </c>
      <c r="N33" s="204">
        <f t="shared" si="4"/>
        <v>0</v>
      </c>
      <c r="O33" s="204">
        <f t="shared" si="5"/>
        <v>0</v>
      </c>
      <c r="P33" s="204">
        <f t="shared" si="6"/>
        <v>0</v>
      </c>
    </row>
    <row r="34" spans="1:16" ht="48">
      <c r="A34" s="129" t="s">
        <v>653</v>
      </c>
      <c r="B34" s="129"/>
      <c r="C34" s="31" t="s">
        <v>709</v>
      </c>
      <c r="D34" s="26" t="s">
        <v>710</v>
      </c>
      <c r="E34" s="176">
        <v>2</v>
      </c>
      <c r="F34" s="277">
        <f t="shared" ref="F34" si="8">30/5</f>
        <v>6</v>
      </c>
      <c r="G34" s="203">
        <v>6</v>
      </c>
      <c r="H34" s="278">
        <f t="shared" si="7"/>
        <v>36</v>
      </c>
      <c r="I34" s="278">
        <v>320</v>
      </c>
      <c r="J34" s="277">
        <v>10</v>
      </c>
      <c r="K34" s="207">
        <f t="shared" si="1"/>
        <v>366</v>
      </c>
      <c r="L34" s="204">
        <f t="shared" si="2"/>
        <v>12</v>
      </c>
      <c r="M34" s="207">
        <f t="shared" si="3"/>
        <v>72</v>
      </c>
      <c r="N34" s="204">
        <f t="shared" si="4"/>
        <v>640</v>
      </c>
      <c r="O34" s="204">
        <f t="shared" si="5"/>
        <v>20</v>
      </c>
      <c r="P34" s="204">
        <f t="shared" si="6"/>
        <v>732</v>
      </c>
    </row>
    <row r="35" spans="1:16" ht="25.5">
      <c r="A35" s="129" t="s">
        <v>654</v>
      </c>
      <c r="B35" s="129"/>
      <c r="C35" s="29" t="s">
        <v>711</v>
      </c>
      <c r="D35" s="26"/>
      <c r="E35" s="176"/>
      <c r="F35" s="202"/>
      <c r="G35" s="203">
        <v>6</v>
      </c>
      <c r="H35" s="204">
        <f t="shared" si="7"/>
        <v>0</v>
      </c>
      <c r="I35" s="205"/>
      <c r="J35" s="206"/>
      <c r="K35" s="207">
        <f t="shared" si="1"/>
        <v>0</v>
      </c>
      <c r="L35" s="204">
        <f t="shared" si="2"/>
        <v>0</v>
      </c>
      <c r="M35" s="207">
        <f t="shared" si="3"/>
        <v>0</v>
      </c>
      <c r="N35" s="204">
        <f t="shared" si="4"/>
        <v>0</v>
      </c>
      <c r="O35" s="204">
        <f t="shared" si="5"/>
        <v>0</v>
      </c>
      <c r="P35" s="204">
        <f t="shared" si="6"/>
        <v>0</v>
      </c>
    </row>
    <row r="36" spans="1:16">
      <c r="A36" s="129" t="s">
        <v>655</v>
      </c>
      <c r="B36" s="129"/>
      <c r="C36" s="181" t="s">
        <v>712</v>
      </c>
      <c r="D36" s="26" t="s">
        <v>0</v>
      </c>
      <c r="E36" s="176">
        <f>E18</f>
        <v>5.3</v>
      </c>
      <c r="F36" s="202">
        <v>0.4</v>
      </c>
      <c r="G36" s="203">
        <v>6</v>
      </c>
      <c r="H36" s="204">
        <f t="shared" si="7"/>
        <v>2.4</v>
      </c>
      <c r="I36" s="205"/>
      <c r="J36" s="206">
        <v>2</v>
      </c>
      <c r="K36" s="207">
        <f t="shared" si="1"/>
        <v>4.4000000000000004</v>
      </c>
      <c r="L36" s="204">
        <f t="shared" si="2"/>
        <v>2.12</v>
      </c>
      <c r="M36" s="207">
        <f t="shared" si="3"/>
        <v>12.72</v>
      </c>
      <c r="N36" s="204">
        <f t="shared" si="4"/>
        <v>0</v>
      </c>
      <c r="O36" s="204">
        <f t="shared" si="5"/>
        <v>10.6</v>
      </c>
      <c r="P36" s="204">
        <f t="shared" si="6"/>
        <v>23.32</v>
      </c>
    </row>
    <row r="37" spans="1:16" ht="25.5">
      <c r="A37" s="129" t="s">
        <v>656</v>
      </c>
      <c r="B37" s="129"/>
      <c r="C37" s="181" t="s">
        <v>713</v>
      </c>
      <c r="D37" s="26" t="s">
        <v>18</v>
      </c>
      <c r="E37" s="176">
        <v>1</v>
      </c>
      <c r="F37" s="202">
        <v>10</v>
      </c>
      <c r="G37" s="203">
        <v>6</v>
      </c>
      <c r="H37" s="204">
        <f t="shared" si="7"/>
        <v>60</v>
      </c>
      <c r="I37" s="205"/>
      <c r="J37" s="206">
        <v>10</v>
      </c>
      <c r="K37" s="207">
        <f t="shared" si="1"/>
        <v>70</v>
      </c>
      <c r="L37" s="204">
        <f t="shared" si="2"/>
        <v>10</v>
      </c>
      <c r="M37" s="207">
        <f t="shared" si="3"/>
        <v>60</v>
      </c>
      <c r="N37" s="204">
        <f t="shared" si="4"/>
        <v>0</v>
      </c>
      <c r="O37" s="204">
        <f t="shared" si="5"/>
        <v>10</v>
      </c>
      <c r="P37" s="204">
        <f t="shared" si="6"/>
        <v>70</v>
      </c>
    </row>
    <row r="38" spans="1:16">
      <c r="A38" s="126" t="s">
        <v>657</v>
      </c>
      <c r="B38" s="126"/>
      <c r="C38" s="24" t="s">
        <v>714</v>
      </c>
      <c r="D38" s="182"/>
      <c r="E38" s="183"/>
      <c r="F38" s="202"/>
      <c r="G38" s="203">
        <v>6</v>
      </c>
      <c r="H38" s="204">
        <f t="shared" si="7"/>
        <v>0</v>
      </c>
      <c r="I38" s="205"/>
      <c r="J38" s="206"/>
      <c r="K38" s="207">
        <f t="shared" si="1"/>
        <v>0</v>
      </c>
      <c r="L38" s="204">
        <f t="shared" si="2"/>
        <v>0</v>
      </c>
      <c r="M38" s="207">
        <f t="shared" si="3"/>
        <v>0</v>
      </c>
      <c r="N38" s="204">
        <f t="shared" si="4"/>
        <v>0</v>
      </c>
      <c r="O38" s="204">
        <f t="shared" si="5"/>
        <v>0</v>
      </c>
      <c r="P38" s="204">
        <f t="shared" si="6"/>
        <v>0</v>
      </c>
    </row>
    <row r="39" spans="1:16" ht="76.5">
      <c r="A39" s="129" t="s">
        <v>658</v>
      </c>
      <c r="B39" s="129"/>
      <c r="C39" s="2" t="s">
        <v>715</v>
      </c>
      <c r="D39" s="134" t="s">
        <v>0</v>
      </c>
      <c r="E39" s="184">
        <f>16+10-1.24-1.18+17.3-1.21-1.19-1.18-1.15</f>
        <v>36.200000000000003</v>
      </c>
      <c r="F39" s="202">
        <v>2</v>
      </c>
      <c r="G39" s="203">
        <v>6</v>
      </c>
      <c r="H39" s="204">
        <f t="shared" si="7"/>
        <v>12</v>
      </c>
      <c r="I39" s="205">
        <v>7</v>
      </c>
      <c r="J39" s="206">
        <v>8</v>
      </c>
      <c r="K39" s="207">
        <f t="shared" si="1"/>
        <v>27</v>
      </c>
      <c r="L39" s="204">
        <f t="shared" si="2"/>
        <v>72.400000000000006</v>
      </c>
      <c r="M39" s="207">
        <f t="shared" si="3"/>
        <v>434.4</v>
      </c>
      <c r="N39" s="204">
        <f t="shared" si="4"/>
        <v>253.4</v>
      </c>
      <c r="O39" s="204">
        <f t="shared" si="5"/>
        <v>289.60000000000002</v>
      </c>
      <c r="P39" s="204">
        <f t="shared" si="6"/>
        <v>977.4</v>
      </c>
    </row>
    <row r="40" spans="1:16" ht="25.5">
      <c r="A40" s="129" t="s">
        <v>659</v>
      </c>
      <c r="B40" s="129"/>
      <c r="C40" s="2" t="s">
        <v>716</v>
      </c>
      <c r="D40" s="134" t="s">
        <v>0</v>
      </c>
      <c r="E40" s="184">
        <f>2</f>
        <v>2</v>
      </c>
      <c r="F40" s="202">
        <f>6/5</f>
        <v>1.2</v>
      </c>
      <c r="G40" s="203">
        <v>6</v>
      </c>
      <c r="H40" s="204">
        <f t="shared" si="7"/>
        <v>7.2</v>
      </c>
      <c r="I40" s="205">
        <v>1.75</v>
      </c>
      <c r="J40" s="206">
        <v>0.2</v>
      </c>
      <c r="K40" s="207">
        <f t="shared" si="1"/>
        <v>9.15</v>
      </c>
      <c r="L40" s="204">
        <f t="shared" si="2"/>
        <v>2.4</v>
      </c>
      <c r="M40" s="207">
        <f t="shared" si="3"/>
        <v>14.4</v>
      </c>
      <c r="N40" s="204">
        <f t="shared" si="4"/>
        <v>3.5</v>
      </c>
      <c r="O40" s="204">
        <f t="shared" si="5"/>
        <v>0.4</v>
      </c>
      <c r="P40" s="204">
        <f t="shared" si="6"/>
        <v>18.3</v>
      </c>
    </row>
    <row r="41" spans="1:16" ht="25.5">
      <c r="A41" s="129" t="s">
        <v>660</v>
      </c>
      <c r="B41" s="129"/>
      <c r="C41" s="2" t="s">
        <v>717</v>
      </c>
      <c r="D41" s="134" t="s">
        <v>0</v>
      </c>
      <c r="E41" s="184">
        <f>1.21+1.19+1.18+1.15</f>
        <v>4.7</v>
      </c>
      <c r="F41" s="202">
        <f t="shared" ref="F41:F42" si="9">6/5</f>
        <v>1.2</v>
      </c>
      <c r="G41" s="203">
        <v>6</v>
      </c>
      <c r="H41" s="204">
        <f t="shared" si="7"/>
        <v>7.2</v>
      </c>
      <c r="I41" s="205">
        <v>2.2000000000000002</v>
      </c>
      <c r="J41" s="206">
        <v>0.2</v>
      </c>
      <c r="K41" s="207">
        <f t="shared" si="1"/>
        <v>9.6</v>
      </c>
      <c r="L41" s="204">
        <f t="shared" si="2"/>
        <v>5.64</v>
      </c>
      <c r="M41" s="207">
        <f t="shared" si="3"/>
        <v>33.840000000000003</v>
      </c>
      <c r="N41" s="204">
        <f t="shared" si="4"/>
        <v>10.34</v>
      </c>
      <c r="O41" s="204">
        <f t="shared" si="5"/>
        <v>0.94</v>
      </c>
      <c r="P41" s="204">
        <f t="shared" si="6"/>
        <v>45.12</v>
      </c>
    </row>
    <row r="42" spans="1:16" ht="25.5">
      <c r="A42" s="129" t="s">
        <v>661</v>
      </c>
      <c r="B42" s="129"/>
      <c r="C42" s="2" t="s">
        <v>718</v>
      </c>
      <c r="D42" s="134" t="s">
        <v>0</v>
      </c>
      <c r="E42" s="184">
        <f>1.21+1.18</f>
        <v>2.4</v>
      </c>
      <c r="F42" s="202">
        <f t="shared" si="9"/>
        <v>1.2</v>
      </c>
      <c r="G42" s="203">
        <v>6</v>
      </c>
      <c r="H42" s="204">
        <f t="shared" si="7"/>
        <v>7.2</v>
      </c>
      <c r="I42" s="205">
        <v>4.8</v>
      </c>
      <c r="J42" s="206">
        <v>0.2</v>
      </c>
      <c r="K42" s="207">
        <f t="shared" si="1"/>
        <v>12.2</v>
      </c>
      <c r="L42" s="204">
        <f t="shared" si="2"/>
        <v>2.88</v>
      </c>
      <c r="M42" s="207">
        <f t="shared" si="3"/>
        <v>17.28</v>
      </c>
      <c r="N42" s="204">
        <f t="shared" si="4"/>
        <v>11.52</v>
      </c>
      <c r="O42" s="204">
        <f t="shared" si="5"/>
        <v>0.48</v>
      </c>
      <c r="P42" s="204">
        <f t="shared" si="6"/>
        <v>29.28</v>
      </c>
    </row>
    <row r="43" spans="1:16" ht="25.5">
      <c r="A43" s="129" t="s">
        <v>662</v>
      </c>
      <c r="B43" s="129"/>
      <c r="C43" s="2" t="s">
        <v>719</v>
      </c>
      <c r="D43" s="134" t="s">
        <v>720</v>
      </c>
      <c r="E43" s="184">
        <v>1</v>
      </c>
      <c r="F43" s="202">
        <v>6</v>
      </c>
      <c r="G43" s="203">
        <v>6</v>
      </c>
      <c r="H43" s="204">
        <f t="shared" si="7"/>
        <v>36</v>
      </c>
      <c r="I43" s="205">
        <v>15</v>
      </c>
      <c r="J43" s="206">
        <v>3</v>
      </c>
      <c r="K43" s="207">
        <f t="shared" si="1"/>
        <v>54</v>
      </c>
      <c r="L43" s="204">
        <f t="shared" si="2"/>
        <v>6</v>
      </c>
      <c r="M43" s="207">
        <f t="shared" si="3"/>
        <v>36</v>
      </c>
      <c r="N43" s="204">
        <f t="shared" si="4"/>
        <v>15</v>
      </c>
      <c r="O43" s="204">
        <f t="shared" si="5"/>
        <v>3</v>
      </c>
      <c r="P43" s="204">
        <f t="shared" si="6"/>
        <v>54</v>
      </c>
    </row>
    <row r="44" spans="1:16">
      <c r="A44" s="129" t="s">
        <v>663</v>
      </c>
      <c r="B44" s="129"/>
      <c r="C44" s="3" t="s">
        <v>721</v>
      </c>
      <c r="D44" s="6" t="s">
        <v>720</v>
      </c>
      <c r="E44" s="184">
        <v>2</v>
      </c>
      <c r="F44" s="202">
        <v>4</v>
      </c>
      <c r="G44" s="203">
        <v>6</v>
      </c>
      <c r="H44" s="204">
        <f t="shared" si="7"/>
        <v>24</v>
      </c>
      <c r="I44" s="205">
        <v>6.5</v>
      </c>
      <c r="J44" s="206">
        <v>10</v>
      </c>
      <c r="K44" s="207">
        <f t="shared" si="1"/>
        <v>40.5</v>
      </c>
      <c r="L44" s="204">
        <f t="shared" si="2"/>
        <v>8</v>
      </c>
      <c r="M44" s="207">
        <f t="shared" si="3"/>
        <v>48</v>
      </c>
      <c r="N44" s="204">
        <f t="shared" si="4"/>
        <v>13</v>
      </c>
      <c r="O44" s="204">
        <f t="shared" si="5"/>
        <v>20</v>
      </c>
      <c r="P44" s="204">
        <f t="shared" si="6"/>
        <v>81</v>
      </c>
    </row>
    <row r="45" spans="1:16">
      <c r="A45" s="129" t="s">
        <v>664</v>
      </c>
      <c r="B45" s="129"/>
      <c r="C45" s="3" t="s">
        <v>722</v>
      </c>
      <c r="D45" s="6" t="s">
        <v>720</v>
      </c>
      <c r="E45" s="184">
        <v>3</v>
      </c>
      <c r="F45" s="202">
        <v>3</v>
      </c>
      <c r="G45" s="203">
        <v>6</v>
      </c>
      <c r="H45" s="204">
        <f t="shared" si="7"/>
        <v>18</v>
      </c>
      <c r="I45" s="205">
        <v>6</v>
      </c>
      <c r="J45" s="206">
        <v>10</v>
      </c>
      <c r="K45" s="207">
        <f t="shared" si="1"/>
        <v>34</v>
      </c>
      <c r="L45" s="204">
        <f t="shared" si="2"/>
        <v>9</v>
      </c>
      <c r="M45" s="207">
        <f t="shared" si="3"/>
        <v>54</v>
      </c>
      <c r="N45" s="204">
        <f t="shared" si="4"/>
        <v>18</v>
      </c>
      <c r="O45" s="204">
        <f t="shared" si="5"/>
        <v>30</v>
      </c>
      <c r="P45" s="204">
        <f t="shared" si="6"/>
        <v>102</v>
      </c>
    </row>
    <row r="46" spans="1:16">
      <c r="A46" s="129" t="s">
        <v>665</v>
      </c>
      <c r="B46" s="129"/>
      <c r="C46" s="3" t="s">
        <v>723</v>
      </c>
      <c r="D46" s="6" t="s">
        <v>720</v>
      </c>
      <c r="E46" s="184">
        <v>5</v>
      </c>
      <c r="F46" s="202">
        <v>3</v>
      </c>
      <c r="G46" s="203">
        <v>6</v>
      </c>
      <c r="H46" s="204">
        <f t="shared" si="7"/>
        <v>18</v>
      </c>
      <c r="I46" s="205">
        <v>4.5</v>
      </c>
      <c r="J46" s="206">
        <v>5</v>
      </c>
      <c r="K46" s="207">
        <f t="shared" si="1"/>
        <v>27.5</v>
      </c>
      <c r="L46" s="204">
        <f t="shared" si="2"/>
        <v>15</v>
      </c>
      <c r="M46" s="207">
        <f t="shared" si="3"/>
        <v>90</v>
      </c>
      <c r="N46" s="204">
        <f t="shared" si="4"/>
        <v>22.5</v>
      </c>
      <c r="O46" s="204">
        <f t="shared" si="5"/>
        <v>25</v>
      </c>
      <c r="P46" s="204">
        <f t="shared" si="6"/>
        <v>137.5</v>
      </c>
    </row>
    <row r="47" spans="1:16">
      <c r="A47" s="129" t="s">
        <v>666</v>
      </c>
      <c r="B47" s="129"/>
      <c r="C47" s="3" t="s">
        <v>724</v>
      </c>
      <c r="D47" s="6" t="s">
        <v>720</v>
      </c>
      <c r="E47" s="184">
        <v>1</v>
      </c>
      <c r="F47" s="202">
        <v>2</v>
      </c>
      <c r="G47" s="203">
        <v>6</v>
      </c>
      <c r="H47" s="204">
        <f t="shared" si="7"/>
        <v>12</v>
      </c>
      <c r="I47" s="205">
        <v>3</v>
      </c>
      <c r="J47" s="206">
        <v>5</v>
      </c>
      <c r="K47" s="207">
        <f t="shared" si="1"/>
        <v>20</v>
      </c>
      <c r="L47" s="204">
        <f t="shared" si="2"/>
        <v>2</v>
      </c>
      <c r="M47" s="207">
        <f t="shared" si="3"/>
        <v>12</v>
      </c>
      <c r="N47" s="204">
        <f t="shared" si="4"/>
        <v>3</v>
      </c>
      <c r="O47" s="204">
        <f t="shared" si="5"/>
        <v>5</v>
      </c>
      <c r="P47" s="204">
        <f t="shared" si="6"/>
        <v>20</v>
      </c>
    </row>
    <row r="48" spans="1:16" ht="25.5">
      <c r="A48" s="129" t="s">
        <v>667</v>
      </c>
      <c r="B48" s="129"/>
      <c r="C48" s="3" t="s">
        <v>725</v>
      </c>
      <c r="D48" s="6" t="s">
        <v>720</v>
      </c>
      <c r="E48" s="184">
        <v>1</v>
      </c>
      <c r="F48" s="202">
        <v>4</v>
      </c>
      <c r="G48" s="203">
        <v>6</v>
      </c>
      <c r="H48" s="204">
        <f t="shared" si="7"/>
        <v>24</v>
      </c>
      <c r="I48" s="205">
        <v>12</v>
      </c>
      <c r="J48" s="206">
        <v>1</v>
      </c>
      <c r="K48" s="207">
        <f t="shared" si="1"/>
        <v>37</v>
      </c>
      <c r="L48" s="204">
        <f t="shared" si="2"/>
        <v>4</v>
      </c>
      <c r="M48" s="207">
        <f t="shared" si="3"/>
        <v>24</v>
      </c>
      <c r="N48" s="204">
        <f t="shared" si="4"/>
        <v>12</v>
      </c>
      <c r="O48" s="204">
        <f t="shared" si="5"/>
        <v>1</v>
      </c>
      <c r="P48" s="204">
        <f t="shared" si="6"/>
        <v>37</v>
      </c>
    </row>
    <row r="49" spans="1:16" ht="40.5" customHeight="1">
      <c r="A49" s="129" t="s">
        <v>668</v>
      </c>
      <c r="B49" s="129"/>
      <c r="C49" s="2" t="s">
        <v>726</v>
      </c>
      <c r="D49" s="6" t="s">
        <v>22</v>
      </c>
      <c r="E49" s="184">
        <v>2</v>
      </c>
      <c r="F49" s="202">
        <v>3</v>
      </c>
      <c r="G49" s="203">
        <v>6</v>
      </c>
      <c r="H49" s="204">
        <f t="shared" si="7"/>
        <v>18</v>
      </c>
      <c r="I49" s="205">
        <v>18</v>
      </c>
      <c r="J49" s="206">
        <v>0.5</v>
      </c>
      <c r="K49" s="207">
        <f t="shared" si="1"/>
        <v>36.5</v>
      </c>
      <c r="L49" s="204">
        <f t="shared" si="2"/>
        <v>6</v>
      </c>
      <c r="M49" s="207">
        <f t="shared" si="3"/>
        <v>36</v>
      </c>
      <c r="N49" s="204">
        <f t="shared" si="4"/>
        <v>36</v>
      </c>
      <c r="O49" s="204">
        <f t="shared" si="5"/>
        <v>1</v>
      </c>
      <c r="P49" s="204">
        <f t="shared" si="6"/>
        <v>73</v>
      </c>
    </row>
    <row r="50" spans="1:16" ht="25.5">
      <c r="A50" s="146" t="s">
        <v>669</v>
      </c>
      <c r="B50" s="146"/>
      <c r="C50" s="40" t="s">
        <v>727</v>
      </c>
      <c r="D50" s="185" t="s">
        <v>34</v>
      </c>
      <c r="E50" s="186">
        <v>4</v>
      </c>
      <c r="F50" s="202">
        <v>6</v>
      </c>
      <c r="G50" s="203">
        <v>6</v>
      </c>
      <c r="H50" s="204">
        <f t="shared" si="7"/>
        <v>36</v>
      </c>
      <c r="I50" s="205">
        <v>85</v>
      </c>
      <c r="J50" s="206">
        <v>3</v>
      </c>
      <c r="K50" s="207">
        <f t="shared" si="1"/>
        <v>124</v>
      </c>
      <c r="L50" s="204">
        <f t="shared" si="2"/>
        <v>24</v>
      </c>
      <c r="M50" s="207">
        <f t="shared" si="3"/>
        <v>144</v>
      </c>
      <c r="N50" s="204">
        <f t="shared" si="4"/>
        <v>340</v>
      </c>
      <c r="O50" s="204">
        <f t="shared" si="5"/>
        <v>12</v>
      </c>
      <c r="P50" s="204">
        <f t="shared" si="6"/>
        <v>496</v>
      </c>
    </row>
    <row r="51" spans="1:16" ht="25.5">
      <c r="A51" s="146" t="s">
        <v>670</v>
      </c>
      <c r="B51" s="146"/>
      <c r="C51" s="40" t="s">
        <v>728</v>
      </c>
      <c r="D51" s="185" t="s">
        <v>34</v>
      </c>
      <c r="E51" s="187">
        <v>1</v>
      </c>
      <c r="F51" s="202">
        <v>8</v>
      </c>
      <c r="G51" s="203">
        <v>6</v>
      </c>
      <c r="H51" s="204">
        <f t="shared" si="7"/>
        <v>48</v>
      </c>
      <c r="I51" s="205">
        <v>220</v>
      </c>
      <c r="J51" s="206">
        <v>3</v>
      </c>
      <c r="K51" s="207">
        <f t="shared" si="1"/>
        <v>271</v>
      </c>
      <c r="L51" s="204">
        <f t="shared" si="2"/>
        <v>8</v>
      </c>
      <c r="M51" s="207">
        <f t="shared" si="3"/>
        <v>48</v>
      </c>
      <c r="N51" s="204">
        <f t="shared" si="4"/>
        <v>220</v>
      </c>
      <c r="O51" s="204">
        <f t="shared" si="5"/>
        <v>3</v>
      </c>
      <c r="P51" s="204">
        <f t="shared" si="6"/>
        <v>271</v>
      </c>
    </row>
    <row r="52" spans="1:16" ht="42.75" customHeight="1">
      <c r="A52" s="146" t="s">
        <v>671</v>
      </c>
      <c r="B52" s="146"/>
      <c r="C52" s="40" t="s">
        <v>729</v>
      </c>
      <c r="D52" s="185" t="s">
        <v>34</v>
      </c>
      <c r="E52" s="187">
        <v>1</v>
      </c>
      <c r="F52" s="202">
        <v>6</v>
      </c>
      <c r="G52" s="203">
        <v>6</v>
      </c>
      <c r="H52" s="204">
        <f t="shared" ref="H52" si="10">ROUND(G52*F52,2)</f>
        <v>36</v>
      </c>
      <c r="I52" s="205">
        <v>70</v>
      </c>
      <c r="J52" s="206">
        <v>3</v>
      </c>
      <c r="K52" s="207">
        <f t="shared" si="1"/>
        <v>109</v>
      </c>
      <c r="L52" s="204">
        <f t="shared" si="2"/>
        <v>6</v>
      </c>
      <c r="M52" s="207">
        <f t="shared" si="3"/>
        <v>36</v>
      </c>
      <c r="N52" s="204">
        <f t="shared" si="4"/>
        <v>70</v>
      </c>
      <c r="O52" s="204">
        <f t="shared" si="5"/>
        <v>3</v>
      </c>
      <c r="P52" s="204">
        <f t="shared" si="6"/>
        <v>109</v>
      </c>
    </row>
    <row r="53" spans="1:16">
      <c r="A53" s="126" t="s">
        <v>672</v>
      </c>
      <c r="B53" s="126"/>
      <c r="C53" s="126" t="s">
        <v>730</v>
      </c>
      <c r="D53" s="173"/>
      <c r="E53" s="272"/>
      <c r="F53" s="202"/>
      <c r="G53" s="203">
        <v>6</v>
      </c>
      <c r="H53" s="204">
        <f t="shared" si="7"/>
        <v>0</v>
      </c>
      <c r="I53" s="205"/>
      <c r="J53" s="206"/>
      <c r="K53" s="207">
        <f t="shared" si="1"/>
        <v>0</v>
      </c>
      <c r="L53" s="204">
        <f t="shared" si="2"/>
        <v>0</v>
      </c>
      <c r="M53" s="207">
        <f t="shared" si="3"/>
        <v>0</v>
      </c>
      <c r="N53" s="204">
        <f t="shared" si="4"/>
        <v>0</v>
      </c>
      <c r="O53" s="204">
        <f t="shared" si="5"/>
        <v>0</v>
      </c>
      <c r="P53" s="204">
        <f t="shared" si="6"/>
        <v>0</v>
      </c>
    </row>
    <row r="54" spans="1:16" ht="25.5">
      <c r="A54" s="129" t="s">
        <v>673</v>
      </c>
      <c r="B54" s="129"/>
      <c r="C54" s="32" t="s">
        <v>731</v>
      </c>
      <c r="D54" s="188" t="s">
        <v>720</v>
      </c>
      <c r="E54" s="189">
        <v>1</v>
      </c>
      <c r="F54" s="202">
        <v>2</v>
      </c>
      <c r="G54" s="203">
        <v>6</v>
      </c>
      <c r="H54" s="204">
        <f t="shared" ref="H54" si="11">ROUND(G54*F54,2)</f>
        <v>12</v>
      </c>
      <c r="I54" s="205">
        <v>3</v>
      </c>
      <c r="J54" s="206">
        <v>5</v>
      </c>
      <c r="K54" s="207">
        <f t="shared" si="1"/>
        <v>20</v>
      </c>
      <c r="L54" s="204">
        <f t="shared" si="2"/>
        <v>2</v>
      </c>
      <c r="M54" s="207">
        <f t="shared" si="3"/>
        <v>12</v>
      </c>
      <c r="N54" s="204">
        <f t="shared" si="4"/>
        <v>3</v>
      </c>
      <c r="O54" s="204">
        <f t="shared" si="5"/>
        <v>5</v>
      </c>
      <c r="P54" s="204">
        <f t="shared" si="6"/>
        <v>20</v>
      </c>
    </row>
    <row r="55" spans="1:16" ht="38.25">
      <c r="A55" s="129" t="s">
        <v>674</v>
      </c>
      <c r="B55" s="129"/>
      <c r="C55" s="32" t="s">
        <v>732</v>
      </c>
      <c r="D55" s="188" t="s">
        <v>0</v>
      </c>
      <c r="E55" s="189">
        <f>20.1-E57</f>
        <v>13.1</v>
      </c>
      <c r="F55" s="202">
        <v>2</v>
      </c>
      <c r="G55" s="203">
        <v>6</v>
      </c>
      <c r="H55" s="204">
        <f t="shared" si="7"/>
        <v>12</v>
      </c>
      <c r="I55" s="205">
        <v>4.5999999999999996</v>
      </c>
      <c r="J55" s="206">
        <v>0.5</v>
      </c>
      <c r="K55" s="207">
        <f t="shared" si="1"/>
        <v>17.100000000000001</v>
      </c>
      <c r="L55" s="204">
        <f t="shared" si="2"/>
        <v>26.2</v>
      </c>
      <c r="M55" s="207">
        <f t="shared" si="3"/>
        <v>157.19999999999999</v>
      </c>
      <c r="N55" s="204">
        <f t="shared" si="4"/>
        <v>60.26</v>
      </c>
      <c r="O55" s="204">
        <f t="shared" si="5"/>
        <v>6.55</v>
      </c>
      <c r="P55" s="204">
        <f t="shared" si="6"/>
        <v>224.01</v>
      </c>
    </row>
    <row r="56" spans="1:16" ht="38.25">
      <c r="A56" s="129" t="s">
        <v>675</v>
      </c>
      <c r="B56" s="129"/>
      <c r="C56" s="32" t="s">
        <v>733</v>
      </c>
      <c r="D56" s="188" t="s">
        <v>0</v>
      </c>
      <c r="E56" s="189">
        <v>10.3</v>
      </c>
      <c r="F56" s="202">
        <v>2</v>
      </c>
      <c r="G56" s="203">
        <v>6</v>
      </c>
      <c r="H56" s="204">
        <f t="shared" ref="H56:H57" si="12">ROUND(G56*F56,2)</f>
        <v>12</v>
      </c>
      <c r="I56" s="205">
        <v>5.0999999999999996</v>
      </c>
      <c r="J56" s="206">
        <v>0.5</v>
      </c>
      <c r="K56" s="207">
        <f t="shared" si="1"/>
        <v>17.600000000000001</v>
      </c>
      <c r="L56" s="204">
        <f t="shared" si="2"/>
        <v>20.6</v>
      </c>
      <c r="M56" s="207">
        <f t="shared" si="3"/>
        <v>123.6</v>
      </c>
      <c r="N56" s="204">
        <f t="shared" si="4"/>
        <v>52.53</v>
      </c>
      <c r="O56" s="204">
        <f t="shared" si="5"/>
        <v>5.15</v>
      </c>
      <c r="P56" s="204">
        <f t="shared" si="6"/>
        <v>181.28</v>
      </c>
    </row>
    <row r="57" spans="1:16" ht="38.25">
      <c r="A57" s="129" t="s">
        <v>676</v>
      </c>
      <c r="B57" s="129"/>
      <c r="C57" s="32" t="s">
        <v>734</v>
      </c>
      <c r="D57" s="188" t="s">
        <v>0</v>
      </c>
      <c r="E57" s="189">
        <v>7</v>
      </c>
      <c r="F57" s="202">
        <f>6/5</f>
        <v>1.2</v>
      </c>
      <c r="G57" s="203">
        <v>6</v>
      </c>
      <c r="H57" s="204">
        <f t="shared" si="12"/>
        <v>7.2</v>
      </c>
      <c r="I57" s="205">
        <v>3.6</v>
      </c>
      <c r="J57" s="206">
        <v>2</v>
      </c>
      <c r="K57" s="207">
        <f t="shared" si="1"/>
        <v>12.8</v>
      </c>
      <c r="L57" s="204">
        <f t="shared" si="2"/>
        <v>8.4</v>
      </c>
      <c r="M57" s="207">
        <f t="shared" si="3"/>
        <v>50.4</v>
      </c>
      <c r="N57" s="204">
        <f t="shared" si="4"/>
        <v>25.2</v>
      </c>
      <c r="O57" s="204">
        <f t="shared" si="5"/>
        <v>14</v>
      </c>
      <c r="P57" s="204">
        <f t="shared" si="6"/>
        <v>89.6</v>
      </c>
    </row>
    <row r="58" spans="1:16" ht="38.25">
      <c r="A58" s="129" t="s">
        <v>677</v>
      </c>
      <c r="B58" s="129"/>
      <c r="C58" s="32" t="s">
        <v>735</v>
      </c>
      <c r="D58" s="188" t="s">
        <v>720</v>
      </c>
      <c r="E58" s="189">
        <v>1</v>
      </c>
      <c r="F58" s="202">
        <v>6</v>
      </c>
      <c r="G58" s="203">
        <v>6</v>
      </c>
      <c r="H58" s="204">
        <f t="shared" si="7"/>
        <v>36</v>
      </c>
      <c r="I58" s="205">
        <v>23</v>
      </c>
      <c r="J58" s="206">
        <v>1</v>
      </c>
      <c r="K58" s="207">
        <f t="shared" si="1"/>
        <v>60</v>
      </c>
      <c r="L58" s="204">
        <f t="shared" si="2"/>
        <v>6</v>
      </c>
      <c r="M58" s="207">
        <f t="shared" si="3"/>
        <v>36</v>
      </c>
      <c r="N58" s="204">
        <f t="shared" si="4"/>
        <v>23</v>
      </c>
      <c r="O58" s="204">
        <f t="shared" si="5"/>
        <v>1</v>
      </c>
      <c r="P58" s="204">
        <f t="shared" si="6"/>
        <v>60</v>
      </c>
    </row>
    <row r="59" spans="1:16" ht="38.25">
      <c r="A59" s="146" t="s">
        <v>678</v>
      </c>
      <c r="B59" s="146"/>
      <c r="C59" s="44" t="s">
        <v>1043</v>
      </c>
      <c r="D59" s="185" t="s">
        <v>0</v>
      </c>
      <c r="E59" s="155">
        <v>5</v>
      </c>
      <c r="F59" s="202">
        <v>2</v>
      </c>
      <c r="G59" s="203">
        <v>6</v>
      </c>
      <c r="H59" s="204">
        <f t="shared" si="7"/>
        <v>12</v>
      </c>
      <c r="I59" s="205">
        <v>12</v>
      </c>
      <c r="J59" s="206">
        <v>1</v>
      </c>
      <c r="K59" s="207">
        <f t="shared" si="1"/>
        <v>25</v>
      </c>
      <c r="L59" s="204">
        <f t="shared" si="2"/>
        <v>10</v>
      </c>
      <c r="M59" s="207">
        <f t="shared" si="3"/>
        <v>60</v>
      </c>
      <c r="N59" s="204">
        <f t="shared" si="4"/>
        <v>60</v>
      </c>
      <c r="O59" s="204">
        <f t="shared" si="5"/>
        <v>5</v>
      </c>
      <c r="P59" s="204">
        <f t="shared" si="6"/>
        <v>125</v>
      </c>
    </row>
    <row r="60" spans="1:16" ht="15.75" customHeight="1">
      <c r="A60" s="129" t="s">
        <v>679</v>
      </c>
      <c r="B60" s="129"/>
      <c r="C60" s="32" t="s">
        <v>736</v>
      </c>
      <c r="D60" s="188" t="s">
        <v>22</v>
      </c>
      <c r="E60" s="189">
        <v>1</v>
      </c>
      <c r="F60" s="202">
        <v>2</v>
      </c>
      <c r="G60" s="203">
        <v>6</v>
      </c>
      <c r="H60" s="204">
        <f t="shared" si="7"/>
        <v>12</v>
      </c>
      <c r="I60" s="205">
        <v>8.6</v>
      </c>
      <c r="J60" s="206">
        <v>0.3</v>
      </c>
      <c r="K60" s="207">
        <f t="shared" si="1"/>
        <v>20.9</v>
      </c>
      <c r="L60" s="204">
        <f t="shared" si="2"/>
        <v>2</v>
      </c>
      <c r="M60" s="207">
        <f t="shared" si="3"/>
        <v>12</v>
      </c>
      <c r="N60" s="204">
        <f t="shared" si="4"/>
        <v>8.6</v>
      </c>
      <c r="O60" s="204">
        <f t="shared" si="5"/>
        <v>0.3</v>
      </c>
      <c r="P60" s="204">
        <f t="shared" si="6"/>
        <v>20.9</v>
      </c>
    </row>
    <row r="61" spans="1:16">
      <c r="A61" s="129" t="s">
        <v>680</v>
      </c>
      <c r="B61" s="129"/>
      <c r="C61" s="32" t="s">
        <v>737</v>
      </c>
      <c r="D61" s="188" t="s">
        <v>22</v>
      </c>
      <c r="E61" s="189">
        <v>2</v>
      </c>
      <c r="F61" s="202">
        <v>1</v>
      </c>
      <c r="G61" s="203">
        <v>6</v>
      </c>
      <c r="H61" s="204">
        <f t="shared" si="7"/>
        <v>6</v>
      </c>
      <c r="I61" s="205">
        <v>6.3</v>
      </c>
      <c r="J61" s="206">
        <v>0.3</v>
      </c>
      <c r="K61" s="207">
        <f t="shared" si="1"/>
        <v>12.6</v>
      </c>
      <c r="L61" s="204">
        <f t="shared" si="2"/>
        <v>2</v>
      </c>
      <c r="M61" s="207">
        <f t="shared" si="3"/>
        <v>12</v>
      </c>
      <c r="N61" s="204">
        <f t="shared" si="4"/>
        <v>12.6</v>
      </c>
      <c r="O61" s="204">
        <f t="shared" si="5"/>
        <v>0.6</v>
      </c>
      <c r="P61" s="204">
        <f t="shared" si="6"/>
        <v>25.2</v>
      </c>
    </row>
    <row r="62" spans="1:16" ht="25.5">
      <c r="A62" s="129" t="s">
        <v>681</v>
      </c>
      <c r="B62" s="129"/>
      <c r="C62" s="32" t="s">
        <v>738</v>
      </c>
      <c r="D62" s="188" t="s">
        <v>22</v>
      </c>
      <c r="E62" s="189">
        <v>6</v>
      </c>
      <c r="F62" s="202">
        <v>1</v>
      </c>
      <c r="G62" s="203">
        <v>6</v>
      </c>
      <c r="H62" s="204">
        <f t="shared" si="7"/>
        <v>6</v>
      </c>
      <c r="I62" s="205">
        <v>5.8</v>
      </c>
      <c r="J62" s="206">
        <v>0.3</v>
      </c>
      <c r="K62" s="207">
        <f t="shared" si="1"/>
        <v>12.1</v>
      </c>
      <c r="L62" s="204">
        <f t="shared" si="2"/>
        <v>6</v>
      </c>
      <c r="M62" s="207">
        <f t="shared" si="3"/>
        <v>36</v>
      </c>
      <c r="N62" s="204">
        <f t="shared" si="4"/>
        <v>34.799999999999997</v>
      </c>
      <c r="O62" s="204">
        <f t="shared" si="5"/>
        <v>1.8</v>
      </c>
      <c r="P62" s="204">
        <f t="shared" si="6"/>
        <v>72.599999999999994</v>
      </c>
    </row>
    <row r="63" spans="1:16" ht="25.5">
      <c r="A63" s="129" t="s">
        <v>682</v>
      </c>
      <c r="B63" s="129"/>
      <c r="C63" s="32" t="s">
        <v>739</v>
      </c>
      <c r="D63" s="188" t="s">
        <v>22</v>
      </c>
      <c r="E63" s="189">
        <v>1</v>
      </c>
      <c r="F63" s="202">
        <v>1</v>
      </c>
      <c r="G63" s="203">
        <v>6</v>
      </c>
      <c r="H63" s="204">
        <f t="shared" si="7"/>
        <v>6</v>
      </c>
      <c r="I63" s="205">
        <v>5.8</v>
      </c>
      <c r="J63" s="206">
        <v>0.3</v>
      </c>
      <c r="K63" s="207">
        <f t="shared" si="1"/>
        <v>12.1</v>
      </c>
      <c r="L63" s="204">
        <f t="shared" si="2"/>
        <v>1</v>
      </c>
      <c r="M63" s="207">
        <f t="shared" si="3"/>
        <v>6</v>
      </c>
      <c r="N63" s="204">
        <f t="shared" si="4"/>
        <v>5.8</v>
      </c>
      <c r="O63" s="204">
        <f t="shared" si="5"/>
        <v>0.3</v>
      </c>
      <c r="P63" s="204">
        <f t="shared" si="6"/>
        <v>12.1</v>
      </c>
    </row>
    <row r="64" spans="1:16">
      <c r="A64" s="129" t="s">
        <v>683</v>
      </c>
      <c r="B64" s="129"/>
      <c r="C64" s="31" t="s">
        <v>740</v>
      </c>
      <c r="D64" s="33" t="s">
        <v>22</v>
      </c>
      <c r="E64" s="189">
        <v>1</v>
      </c>
      <c r="F64" s="202">
        <v>2</v>
      </c>
      <c r="G64" s="203">
        <v>6</v>
      </c>
      <c r="H64" s="204">
        <f t="shared" si="7"/>
        <v>12</v>
      </c>
      <c r="I64" s="205">
        <v>6.5</v>
      </c>
      <c r="J64" s="206">
        <v>0.2</v>
      </c>
      <c r="K64" s="207">
        <f t="shared" si="1"/>
        <v>18.7</v>
      </c>
      <c r="L64" s="204">
        <f t="shared" si="2"/>
        <v>2</v>
      </c>
      <c r="M64" s="207">
        <f t="shared" si="3"/>
        <v>12</v>
      </c>
      <c r="N64" s="204">
        <f t="shared" si="4"/>
        <v>6.5</v>
      </c>
      <c r="O64" s="204">
        <f t="shared" si="5"/>
        <v>0.2</v>
      </c>
      <c r="P64" s="204">
        <f t="shared" si="6"/>
        <v>18.7</v>
      </c>
    </row>
    <row r="65" spans="1:16">
      <c r="A65" s="129" t="s">
        <v>1041</v>
      </c>
      <c r="B65" s="129"/>
      <c r="C65" s="190" t="s">
        <v>741</v>
      </c>
      <c r="D65" s="33" t="s">
        <v>19</v>
      </c>
      <c r="E65" s="189">
        <v>1</v>
      </c>
      <c r="F65" s="202">
        <v>10</v>
      </c>
      <c r="G65" s="203">
        <v>6</v>
      </c>
      <c r="H65" s="204">
        <f t="shared" si="7"/>
        <v>60</v>
      </c>
      <c r="I65" s="205">
        <v>10</v>
      </c>
      <c r="J65" s="206">
        <v>10</v>
      </c>
      <c r="K65" s="207">
        <f t="shared" si="1"/>
        <v>80</v>
      </c>
      <c r="L65" s="204">
        <f t="shared" si="2"/>
        <v>10</v>
      </c>
      <c r="M65" s="207">
        <f t="shared" si="3"/>
        <v>60</v>
      </c>
      <c r="N65" s="204">
        <f t="shared" si="4"/>
        <v>10</v>
      </c>
      <c r="O65" s="204">
        <f t="shared" si="5"/>
        <v>10</v>
      </c>
      <c r="P65" s="204">
        <f t="shared" si="6"/>
        <v>80</v>
      </c>
    </row>
    <row r="66" spans="1:16">
      <c r="A66" s="126" t="s">
        <v>684</v>
      </c>
      <c r="B66" s="126"/>
      <c r="C66" s="126" t="s">
        <v>742</v>
      </c>
      <c r="D66" s="273"/>
      <c r="E66" s="274"/>
      <c r="F66" s="202"/>
      <c r="G66" s="203">
        <v>6</v>
      </c>
      <c r="H66" s="204">
        <f t="shared" si="7"/>
        <v>0</v>
      </c>
      <c r="I66" s="205"/>
      <c r="J66" s="206"/>
      <c r="K66" s="207">
        <f t="shared" si="1"/>
        <v>0</v>
      </c>
      <c r="L66" s="204">
        <f t="shared" si="2"/>
        <v>0</v>
      </c>
      <c r="M66" s="207">
        <f t="shared" si="3"/>
        <v>0</v>
      </c>
      <c r="N66" s="204">
        <f t="shared" si="4"/>
        <v>0</v>
      </c>
      <c r="O66" s="204">
        <f t="shared" si="5"/>
        <v>0</v>
      </c>
      <c r="P66" s="204">
        <f t="shared" si="6"/>
        <v>0</v>
      </c>
    </row>
    <row r="67" spans="1:16" ht="25.5">
      <c r="A67" s="129" t="s">
        <v>685</v>
      </c>
      <c r="B67" s="129"/>
      <c r="C67" s="32" t="s">
        <v>743</v>
      </c>
      <c r="D67" s="188" t="s">
        <v>720</v>
      </c>
      <c r="E67" s="189">
        <v>1</v>
      </c>
      <c r="F67" s="202">
        <v>2</v>
      </c>
      <c r="G67" s="203">
        <v>6</v>
      </c>
      <c r="H67" s="204">
        <f t="shared" si="7"/>
        <v>12</v>
      </c>
      <c r="I67" s="205">
        <v>3</v>
      </c>
      <c r="J67" s="206">
        <v>5</v>
      </c>
      <c r="K67" s="207">
        <f t="shared" si="1"/>
        <v>20</v>
      </c>
      <c r="L67" s="204">
        <f t="shared" si="2"/>
        <v>2</v>
      </c>
      <c r="M67" s="207">
        <f t="shared" si="3"/>
        <v>12</v>
      </c>
      <c r="N67" s="204">
        <f t="shared" si="4"/>
        <v>3</v>
      </c>
      <c r="O67" s="204">
        <f t="shared" si="5"/>
        <v>5</v>
      </c>
      <c r="P67" s="204">
        <f t="shared" si="6"/>
        <v>20</v>
      </c>
    </row>
    <row r="68" spans="1:16" ht="38.25">
      <c r="A68" s="129" t="s">
        <v>686</v>
      </c>
      <c r="B68" s="129"/>
      <c r="C68" s="32" t="s">
        <v>744</v>
      </c>
      <c r="D68" s="188" t="s">
        <v>0</v>
      </c>
      <c r="E68" s="189">
        <v>27.8</v>
      </c>
      <c r="F68" s="202">
        <v>2</v>
      </c>
      <c r="G68" s="203">
        <v>6</v>
      </c>
      <c r="H68" s="204">
        <f t="shared" ref="H68:H73" si="13">ROUND(G68*F68,2)</f>
        <v>12</v>
      </c>
      <c r="I68" s="205">
        <v>4.5999999999999996</v>
      </c>
      <c r="J68" s="206">
        <v>0.5</v>
      </c>
      <c r="K68" s="207">
        <f t="shared" si="1"/>
        <v>17.100000000000001</v>
      </c>
      <c r="L68" s="204">
        <f t="shared" si="2"/>
        <v>55.6</v>
      </c>
      <c r="M68" s="207">
        <f t="shared" si="3"/>
        <v>333.6</v>
      </c>
      <c r="N68" s="204">
        <f t="shared" si="4"/>
        <v>127.88</v>
      </c>
      <c r="O68" s="204">
        <f t="shared" si="5"/>
        <v>13.9</v>
      </c>
      <c r="P68" s="204">
        <f t="shared" si="6"/>
        <v>475.38</v>
      </c>
    </row>
    <row r="69" spans="1:16" ht="38.25">
      <c r="A69" s="129" t="s">
        <v>687</v>
      </c>
      <c r="B69" s="129"/>
      <c r="C69" s="32" t="s">
        <v>745</v>
      </c>
      <c r="D69" s="188" t="s">
        <v>0</v>
      </c>
      <c r="E69" s="189">
        <v>5</v>
      </c>
      <c r="F69" s="202">
        <f>6/5</f>
        <v>1.2</v>
      </c>
      <c r="G69" s="203">
        <v>6</v>
      </c>
      <c r="H69" s="204">
        <f t="shared" si="13"/>
        <v>7.2</v>
      </c>
      <c r="I69" s="205">
        <v>3.6</v>
      </c>
      <c r="J69" s="206">
        <v>2</v>
      </c>
      <c r="K69" s="207">
        <f t="shared" si="1"/>
        <v>12.8</v>
      </c>
      <c r="L69" s="204">
        <f t="shared" si="2"/>
        <v>6</v>
      </c>
      <c r="M69" s="207">
        <f t="shared" si="3"/>
        <v>36</v>
      </c>
      <c r="N69" s="204">
        <f t="shared" si="4"/>
        <v>18</v>
      </c>
      <c r="O69" s="204">
        <f t="shared" si="5"/>
        <v>10</v>
      </c>
      <c r="P69" s="204">
        <f t="shared" si="6"/>
        <v>64</v>
      </c>
    </row>
    <row r="70" spans="1:16">
      <c r="A70" s="129" t="s">
        <v>688</v>
      </c>
      <c r="B70" s="129"/>
      <c r="C70" s="32" t="s">
        <v>746</v>
      </c>
      <c r="D70" s="188" t="s">
        <v>22</v>
      </c>
      <c r="E70" s="189">
        <v>1</v>
      </c>
      <c r="F70" s="202">
        <v>1</v>
      </c>
      <c r="G70" s="203">
        <v>6</v>
      </c>
      <c r="H70" s="204">
        <f t="shared" si="13"/>
        <v>6</v>
      </c>
      <c r="I70" s="205">
        <v>5.8</v>
      </c>
      <c r="J70" s="206">
        <v>0.3</v>
      </c>
      <c r="K70" s="207">
        <f t="shared" si="1"/>
        <v>12.1</v>
      </c>
      <c r="L70" s="204">
        <f t="shared" si="2"/>
        <v>1</v>
      </c>
      <c r="M70" s="207">
        <f t="shared" si="3"/>
        <v>6</v>
      </c>
      <c r="N70" s="204">
        <f t="shared" si="4"/>
        <v>5.8</v>
      </c>
      <c r="O70" s="204">
        <f t="shared" si="5"/>
        <v>0.3</v>
      </c>
      <c r="P70" s="204">
        <f t="shared" si="6"/>
        <v>12.1</v>
      </c>
    </row>
    <row r="71" spans="1:16" ht="25.5">
      <c r="A71" s="129" t="s">
        <v>689</v>
      </c>
      <c r="B71" s="129"/>
      <c r="C71" s="32" t="s">
        <v>747</v>
      </c>
      <c r="D71" s="188" t="s">
        <v>22</v>
      </c>
      <c r="E71" s="189">
        <v>5</v>
      </c>
      <c r="F71" s="202">
        <v>1</v>
      </c>
      <c r="G71" s="203">
        <v>6</v>
      </c>
      <c r="H71" s="204">
        <f t="shared" si="13"/>
        <v>6</v>
      </c>
      <c r="I71" s="205">
        <v>5.8</v>
      </c>
      <c r="J71" s="206">
        <v>0.3</v>
      </c>
      <c r="K71" s="207">
        <f t="shared" si="1"/>
        <v>12.1</v>
      </c>
      <c r="L71" s="204">
        <f t="shared" si="2"/>
        <v>5</v>
      </c>
      <c r="M71" s="207">
        <f t="shared" si="3"/>
        <v>30</v>
      </c>
      <c r="N71" s="204">
        <f t="shared" si="4"/>
        <v>29</v>
      </c>
      <c r="O71" s="204">
        <f t="shared" si="5"/>
        <v>1.5</v>
      </c>
      <c r="P71" s="204">
        <f t="shared" si="6"/>
        <v>60.5</v>
      </c>
    </row>
    <row r="72" spans="1:16">
      <c r="A72" s="129" t="s">
        <v>690</v>
      </c>
      <c r="B72" s="129"/>
      <c r="C72" s="31" t="s">
        <v>748</v>
      </c>
      <c r="D72" s="191" t="s">
        <v>22</v>
      </c>
      <c r="E72" s="192">
        <v>2</v>
      </c>
      <c r="F72" s="202">
        <v>2</v>
      </c>
      <c r="G72" s="203">
        <v>6</v>
      </c>
      <c r="H72" s="204">
        <f t="shared" si="13"/>
        <v>12</v>
      </c>
      <c r="I72" s="205">
        <v>6.5</v>
      </c>
      <c r="J72" s="206">
        <v>0.2</v>
      </c>
      <c r="K72" s="207">
        <f t="shared" si="1"/>
        <v>18.7</v>
      </c>
      <c r="L72" s="204">
        <f t="shared" si="2"/>
        <v>4</v>
      </c>
      <c r="M72" s="207">
        <f t="shared" si="3"/>
        <v>24</v>
      </c>
      <c r="N72" s="204">
        <f t="shared" si="4"/>
        <v>13</v>
      </c>
      <c r="O72" s="204">
        <f t="shared" si="5"/>
        <v>0.4</v>
      </c>
      <c r="P72" s="204">
        <f t="shared" si="6"/>
        <v>37.4</v>
      </c>
    </row>
    <row r="73" spans="1:16">
      <c r="A73" s="129" t="s">
        <v>1042</v>
      </c>
      <c r="B73" s="129"/>
      <c r="C73" s="193" t="s">
        <v>741</v>
      </c>
      <c r="D73" s="33" t="s">
        <v>19</v>
      </c>
      <c r="E73" s="192">
        <v>1</v>
      </c>
      <c r="F73" s="202">
        <v>10</v>
      </c>
      <c r="G73" s="203">
        <v>6</v>
      </c>
      <c r="H73" s="204">
        <f t="shared" si="13"/>
        <v>60</v>
      </c>
      <c r="I73" s="205">
        <v>10</v>
      </c>
      <c r="J73" s="206">
        <v>10</v>
      </c>
      <c r="K73" s="207">
        <f t="shared" si="1"/>
        <v>80</v>
      </c>
      <c r="L73" s="204">
        <f t="shared" si="2"/>
        <v>10</v>
      </c>
      <c r="M73" s="207">
        <f t="shared" si="3"/>
        <v>60</v>
      </c>
      <c r="N73" s="204">
        <f t="shared" si="4"/>
        <v>10</v>
      </c>
      <c r="O73" s="204">
        <f t="shared" si="5"/>
        <v>10</v>
      </c>
      <c r="P73" s="204">
        <f t="shared" si="6"/>
        <v>80</v>
      </c>
    </row>
    <row r="74" spans="1:16" ht="15">
      <c r="A74" s="199"/>
      <c r="B74" s="199"/>
      <c r="C74" s="200"/>
      <c r="D74" s="154"/>
      <c r="E74" s="201"/>
      <c r="F74" s="202"/>
      <c r="G74" s="203"/>
      <c r="H74" s="204"/>
      <c r="I74" s="205"/>
      <c r="J74" s="206"/>
      <c r="K74" s="207"/>
      <c r="L74" s="204"/>
      <c r="M74" s="207"/>
      <c r="N74" s="204"/>
      <c r="O74" s="204"/>
      <c r="P74" s="204"/>
    </row>
    <row r="75" spans="1:16">
      <c r="A75" s="208"/>
      <c r="B75" s="208"/>
      <c r="C75" s="209" t="s">
        <v>1112</v>
      </c>
      <c r="D75" s="210"/>
      <c r="E75" s="211"/>
      <c r="F75" s="212"/>
      <c r="G75" s="212"/>
      <c r="H75" s="212"/>
      <c r="I75" s="212"/>
      <c r="J75" s="213"/>
      <c r="K75" s="213"/>
      <c r="L75" s="214">
        <f>SUM(L18:L74)</f>
        <v>399.12</v>
      </c>
      <c r="M75" s="214">
        <f t="shared" ref="M75:P75" si="14">SUM(M18:M74)</f>
        <v>2394.7800000000002</v>
      </c>
      <c r="N75" s="214">
        <f t="shared" si="14"/>
        <v>2217.37</v>
      </c>
      <c r="O75" s="214">
        <f t="shared" si="14"/>
        <v>644.26</v>
      </c>
      <c r="P75" s="214">
        <f t="shared" si="14"/>
        <v>5256.41</v>
      </c>
    </row>
    <row r="76" spans="1:16" ht="15" customHeight="1">
      <c r="A76" s="215" t="s">
        <v>1113</v>
      </c>
      <c r="B76" s="215"/>
      <c r="C76" s="216"/>
      <c r="D76" s="215"/>
      <c r="E76" s="217"/>
      <c r="F76" s="217"/>
      <c r="G76" s="217"/>
      <c r="H76" s="217"/>
      <c r="I76" s="217"/>
      <c r="J76" s="217"/>
      <c r="K76" s="217"/>
      <c r="L76" s="218"/>
      <c r="M76" s="218"/>
      <c r="N76" s="218"/>
      <c r="O76" s="218"/>
      <c r="P76" s="218"/>
    </row>
    <row r="77" spans="1:16" ht="15.75">
      <c r="A77" s="219"/>
      <c r="B77" s="219"/>
      <c r="C77" s="220"/>
      <c r="D77" s="219"/>
      <c r="E77" s="219"/>
      <c r="F77" s="219"/>
      <c r="G77" s="219"/>
      <c r="H77" s="219"/>
      <c r="I77" s="219"/>
      <c r="J77" s="219"/>
      <c r="K77" s="219"/>
      <c r="L77" s="219"/>
      <c r="M77" s="219"/>
      <c r="N77" s="219"/>
      <c r="O77" s="219"/>
      <c r="P77" s="219"/>
    </row>
    <row r="78" spans="1:16" ht="15">
      <c r="A78" s="219"/>
      <c r="B78" s="219"/>
      <c r="C78" s="219"/>
      <c r="D78" s="219"/>
      <c r="E78" s="219"/>
      <c r="F78" s="219"/>
      <c r="G78" s="219"/>
      <c r="H78" s="219"/>
      <c r="I78" s="219"/>
      <c r="J78" s="219"/>
      <c r="K78" s="219"/>
      <c r="L78" s="219"/>
      <c r="M78" s="219"/>
      <c r="N78" s="219"/>
      <c r="O78" s="219"/>
      <c r="P78" s="219"/>
    </row>
    <row r="79" spans="1:16" ht="15">
      <c r="A79" s="219"/>
      <c r="B79" s="219"/>
      <c r="C79" s="221" t="s">
        <v>1114</v>
      </c>
      <c r="D79" s="221"/>
      <c r="E79" s="221"/>
      <c r="F79" s="221"/>
      <c r="G79" s="222"/>
      <c r="H79" s="223"/>
      <c r="I79" s="223" t="s">
        <v>1115</v>
      </c>
      <c r="J79" s="222" t="s">
        <v>1116</v>
      </c>
      <c r="K79" s="222"/>
      <c r="L79" s="222"/>
      <c r="M79" s="222"/>
      <c r="N79" s="224"/>
      <c r="O79" s="219"/>
      <c r="P79" s="219"/>
    </row>
    <row r="80" spans="1:16" ht="15" customHeight="1">
      <c r="A80" s="219"/>
      <c r="B80" s="219"/>
      <c r="C80" s="225" t="s">
        <v>1097</v>
      </c>
      <c r="D80" s="225"/>
      <c r="E80" s="225"/>
      <c r="F80" s="225"/>
      <c r="G80" s="222"/>
      <c r="H80" s="222"/>
      <c r="I80" s="222"/>
      <c r="J80" s="312" t="s">
        <v>1097</v>
      </c>
      <c r="K80" s="312"/>
      <c r="L80" s="312"/>
      <c r="M80" s="312"/>
      <c r="N80" s="224"/>
      <c r="O80" s="219"/>
      <c r="P80" s="219"/>
    </row>
    <row r="81" spans="1:16" ht="15">
      <c r="A81" s="219"/>
      <c r="B81" s="219"/>
      <c r="C81" s="222" t="s">
        <v>1075</v>
      </c>
      <c r="D81" s="222"/>
      <c r="E81" s="222"/>
      <c r="F81" s="222"/>
      <c r="G81" s="222"/>
      <c r="H81" s="222"/>
      <c r="I81" s="222" t="s">
        <v>1078</v>
      </c>
      <c r="J81" s="222"/>
      <c r="K81" s="222"/>
      <c r="L81" s="222"/>
      <c r="M81" s="222"/>
      <c r="N81" s="224"/>
      <c r="O81" s="219"/>
      <c r="P81" s="219"/>
    </row>
    <row r="82" spans="1:16">
      <c r="A82" s="166"/>
      <c r="B82" s="166"/>
    </row>
    <row r="83" spans="1:16" ht="15" customHeight="1">
      <c r="A83" s="166"/>
      <c r="B83" s="166"/>
    </row>
    <row r="84" spans="1:16" s="157" customFormat="1">
      <c r="A84" s="166"/>
      <c r="B84" s="166"/>
      <c r="C84" s="121"/>
      <c r="D84" s="121"/>
      <c r="E84" s="121"/>
      <c r="F84" s="121"/>
      <c r="G84" s="121"/>
      <c r="H84" s="121"/>
      <c r="I84" s="121"/>
      <c r="J84" s="121"/>
      <c r="K84" s="121"/>
      <c r="L84" s="121"/>
      <c r="M84" s="121"/>
      <c r="N84" s="121"/>
      <c r="O84" s="121"/>
      <c r="P84" s="121"/>
    </row>
    <row r="85" spans="1:16">
      <c r="A85" s="166"/>
      <c r="B85" s="166"/>
    </row>
    <row r="86" spans="1:16">
      <c r="A86" s="166"/>
      <c r="B86" s="166"/>
    </row>
  </sheetData>
  <mergeCells count="15">
    <mergeCell ref="A9:E9"/>
    <mergeCell ref="A2:E2"/>
    <mergeCell ref="A4:E4"/>
    <mergeCell ref="A5:E5"/>
    <mergeCell ref="A7:E7"/>
    <mergeCell ref="A8:E8"/>
    <mergeCell ref="F14:K14"/>
    <mergeCell ref="L14:P14"/>
    <mergeCell ref="J80:M80"/>
    <mergeCell ref="A12:E12"/>
    <mergeCell ref="A14:A15"/>
    <mergeCell ref="C14:C15"/>
    <mergeCell ref="D14:D15"/>
    <mergeCell ref="E14:E15"/>
    <mergeCell ref="B14:B15"/>
  </mergeCells>
  <pageMargins left="1.19" right="0.70866141732283472" top="0.5" bottom="0.5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P54"/>
  <sheetViews>
    <sheetView showZeros="0" topLeftCell="A11" zoomScale="90" zoomScaleNormal="90" workbookViewId="0">
      <selection activeCell="P46" sqref="P46"/>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37</v>
      </c>
      <c r="B2" s="313"/>
      <c r="C2" s="313"/>
      <c r="D2" s="313"/>
      <c r="E2" s="313"/>
      <c r="F2" s="158"/>
    </row>
    <row r="3" spans="1:16">
      <c r="A3" s="122"/>
      <c r="B3" s="122"/>
      <c r="C3" s="122"/>
      <c r="D3" s="122"/>
      <c r="E3" s="122"/>
      <c r="F3" s="158"/>
    </row>
    <row r="4" spans="1:16">
      <c r="A4" s="314" t="s">
        <v>390</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89</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749</v>
      </c>
      <c r="B16" s="126"/>
      <c r="C16" s="24" t="s">
        <v>775</v>
      </c>
      <c r="D16" s="173"/>
      <c r="E16" s="173"/>
      <c r="F16" s="226"/>
      <c r="G16" s="227"/>
      <c r="H16" s="227"/>
      <c r="I16" s="227"/>
      <c r="J16" s="227"/>
      <c r="K16" s="227"/>
      <c r="L16" s="227"/>
      <c r="M16" s="227"/>
      <c r="N16" s="227"/>
      <c r="O16" s="227"/>
      <c r="P16" s="227"/>
    </row>
    <row r="17" spans="1:16">
      <c r="A17" s="129" t="s">
        <v>750</v>
      </c>
      <c r="B17" s="129"/>
      <c r="C17" s="34" t="s">
        <v>692</v>
      </c>
      <c r="D17" s="35"/>
      <c r="E17" s="173"/>
      <c r="F17" s="226"/>
      <c r="G17" s="227"/>
      <c r="H17" s="227"/>
      <c r="I17" s="227"/>
      <c r="J17" s="227"/>
      <c r="K17" s="227"/>
      <c r="L17" s="227"/>
      <c r="M17" s="227"/>
      <c r="N17" s="227"/>
      <c r="O17" s="227"/>
      <c r="P17" s="227"/>
    </row>
    <row r="18" spans="1:16">
      <c r="A18" s="129" t="s">
        <v>751</v>
      </c>
      <c r="B18" s="129"/>
      <c r="C18" s="36" t="s">
        <v>693</v>
      </c>
      <c r="D18" s="35" t="s">
        <v>43</v>
      </c>
      <c r="E18" s="131">
        <v>50</v>
      </c>
      <c r="F18" s="202">
        <v>0.2</v>
      </c>
      <c r="G18" s="203">
        <v>6</v>
      </c>
      <c r="H18" s="204">
        <f t="shared" ref="H18:H41" si="0">ROUND(G18*F18,2)</f>
        <v>1.2</v>
      </c>
      <c r="I18" s="205"/>
      <c r="J18" s="206">
        <v>1</v>
      </c>
      <c r="K18" s="207">
        <f t="shared" ref="K18:K41" si="1">SUM(H18:J18)</f>
        <v>2.2000000000000002</v>
      </c>
      <c r="L18" s="204">
        <f t="shared" ref="L18:L41" si="2">ROUND(F18*E18,2)</f>
        <v>10</v>
      </c>
      <c r="M18" s="207">
        <f t="shared" ref="M18:M41" si="3">ROUND(H18*E18,2)</f>
        <v>60</v>
      </c>
      <c r="N18" s="204">
        <f t="shared" ref="N18:N41" si="4">ROUND(I18*E18,2)</f>
        <v>0</v>
      </c>
      <c r="O18" s="204">
        <f t="shared" ref="O18:O41" si="5">ROUND(J18*E18,2)</f>
        <v>50</v>
      </c>
      <c r="P18" s="204">
        <f t="shared" ref="P18:P41" si="6">SUM(M18:O18)</f>
        <v>110</v>
      </c>
    </row>
    <row r="19" spans="1:16">
      <c r="A19" s="126" t="s">
        <v>752</v>
      </c>
      <c r="B19" s="126"/>
      <c r="C19" s="34" t="s">
        <v>44</v>
      </c>
      <c r="D19" s="173"/>
      <c r="E19" s="173"/>
      <c r="F19" s="202"/>
      <c r="G19" s="203">
        <v>6</v>
      </c>
      <c r="H19" s="204">
        <f t="shared" si="0"/>
        <v>0</v>
      </c>
      <c r="I19" s="205"/>
      <c r="J19" s="206"/>
      <c r="K19" s="207">
        <f t="shared" si="1"/>
        <v>0</v>
      </c>
      <c r="L19" s="204">
        <f t="shared" si="2"/>
        <v>0</v>
      </c>
      <c r="M19" s="207">
        <f t="shared" si="3"/>
        <v>0</v>
      </c>
      <c r="N19" s="204">
        <f t="shared" si="4"/>
        <v>0</v>
      </c>
      <c r="O19" s="204">
        <f t="shared" si="5"/>
        <v>0</v>
      </c>
      <c r="P19" s="204">
        <f t="shared" si="6"/>
        <v>0</v>
      </c>
    </row>
    <row r="20" spans="1:16" ht="25.5">
      <c r="A20" s="129" t="s">
        <v>753</v>
      </c>
      <c r="B20" s="129"/>
      <c r="C20" s="28" t="s">
        <v>695</v>
      </c>
      <c r="D20" s="17" t="s">
        <v>157</v>
      </c>
      <c r="E20" s="174">
        <f>50*1.5*0.1</f>
        <v>7.5</v>
      </c>
      <c r="F20" s="202">
        <f>3/5</f>
        <v>0.6</v>
      </c>
      <c r="G20" s="203">
        <v>6</v>
      </c>
      <c r="H20" s="204">
        <f t="shared" si="0"/>
        <v>3.6</v>
      </c>
      <c r="I20" s="205"/>
      <c r="J20" s="206">
        <v>5</v>
      </c>
      <c r="K20" s="207">
        <f t="shared" si="1"/>
        <v>8.6</v>
      </c>
      <c r="L20" s="204">
        <f t="shared" si="2"/>
        <v>4.5</v>
      </c>
      <c r="M20" s="207">
        <f t="shared" si="3"/>
        <v>27</v>
      </c>
      <c r="N20" s="204">
        <f t="shared" si="4"/>
        <v>0</v>
      </c>
      <c r="O20" s="204">
        <f t="shared" si="5"/>
        <v>37.5</v>
      </c>
      <c r="P20" s="204">
        <f t="shared" si="6"/>
        <v>64.5</v>
      </c>
    </row>
    <row r="21" spans="1:16" ht="38.25">
      <c r="A21" s="126" t="s">
        <v>754</v>
      </c>
      <c r="B21" s="126"/>
      <c r="C21" s="37" t="s">
        <v>696</v>
      </c>
      <c r="D21" s="35"/>
      <c r="E21" s="131"/>
      <c r="F21" s="202"/>
      <c r="G21" s="203">
        <v>6</v>
      </c>
      <c r="H21" s="204">
        <f t="shared" si="0"/>
        <v>0</v>
      </c>
      <c r="I21" s="205"/>
      <c r="J21" s="206"/>
      <c r="K21" s="207">
        <f t="shared" si="1"/>
        <v>0</v>
      </c>
      <c r="L21" s="204">
        <f t="shared" si="2"/>
        <v>0</v>
      </c>
      <c r="M21" s="207">
        <f t="shared" si="3"/>
        <v>0</v>
      </c>
      <c r="N21" s="204">
        <f t="shared" si="4"/>
        <v>0</v>
      </c>
      <c r="O21" s="204">
        <f t="shared" si="5"/>
        <v>0</v>
      </c>
      <c r="P21" s="204">
        <f t="shared" si="6"/>
        <v>0</v>
      </c>
    </row>
    <row r="22" spans="1:16">
      <c r="A22" s="129" t="s">
        <v>755</v>
      </c>
      <c r="B22" s="129"/>
      <c r="C22" s="38" t="s">
        <v>776</v>
      </c>
      <c r="D22" s="35" t="s">
        <v>0</v>
      </c>
      <c r="E22" s="131">
        <v>50</v>
      </c>
      <c r="F22" s="202">
        <v>0.3</v>
      </c>
      <c r="G22" s="203">
        <v>6</v>
      </c>
      <c r="H22" s="204">
        <f t="shared" si="0"/>
        <v>1.8</v>
      </c>
      <c r="I22" s="205"/>
      <c r="J22" s="206">
        <v>5</v>
      </c>
      <c r="K22" s="207">
        <f t="shared" si="1"/>
        <v>6.8</v>
      </c>
      <c r="L22" s="204">
        <f t="shared" si="2"/>
        <v>15</v>
      </c>
      <c r="M22" s="207">
        <f t="shared" si="3"/>
        <v>90</v>
      </c>
      <c r="N22" s="204">
        <f t="shared" si="4"/>
        <v>0</v>
      </c>
      <c r="O22" s="204">
        <f t="shared" si="5"/>
        <v>250</v>
      </c>
      <c r="P22" s="204">
        <f t="shared" si="6"/>
        <v>340</v>
      </c>
    </row>
    <row r="23" spans="1:16" ht="25.5">
      <c r="A23" s="126" t="s">
        <v>756</v>
      </c>
      <c r="B23" s="126"/>
      <c r="C23" s="37" t="s">
        <v>698</v>
      </c>
      <c r="D23" s="35"/>
      <c r="E23" s="131"/>
      <c r="F23" s="202"/>
      <c r="G23" s="203">
        <v>6</v>
      </c>
      <c r="H23" s="204">
        <f t="shared" si="0"/>
        <v>0</v>
      </c>
      <c r="I23" s="205"/>
      <c r="J23" s="206"/>
      <c r="K23" s="207">
        <f t="shared" si="1"/>
        <v>0</v>
      </c>
      <c r="L23" s="204">
        <f t="shared" si="2"/>
        <v>0</v>
      </c>
      <c r="M23" s="207">
        <f t="shared" si="3"/>
        <v>0</v>
      </c>
      <c r="N23" s="204">
        <f t="shared" si="4"/>
        <v>0</v>
      </c>
      <c r="O23" s="204">
        <f t="shared" si="5"/>
        <v>0</v>
      </c>
      <c r="P23" s="204">
        <f t="shared" si="6"/>
        <v>0</v>
      </c>
    </row>
    <row r="24" spans="1:16" ht="38.25">
      <c r="A24" s="129" t="s">
        <v>757</v>
      </c>
      <c r="B24" s="129"/>
      <c r="C24" s="3" t="s">
        <v>699</v>
      </c>
      <c r="D24" s="35" t="s">
        <v>16</v>
      </c>
      <c r="E24" s="131">
        <v>55.5</v>
      </c>
      <c r="F24" s="202">
        <v>0.5</v>
      </c>
      <c r="G24" s="203">
        <v>6</v>
      </c>
      <c r="H24" s="204">
        <f t="shared" si="0"/>
        <v>3</v>
      </c>
      <c r="I24" s="205"/>
      <c r="J24" s="206">
        <v>4</v>
      </c>
      <c r="K24" s="207">
        <f t="shared" si="1"/>
        <v>7</v>
      </c>
      <c r="L24" s="204">
        <f t="shared" si="2"/>
        <v>27.75</v>
      </c>
      <c r="M24" s="207">
        <f t="shared" si="3"/>
        <v>166.5</v>
      </c>
      <c r="N24" s="204">
        <f t="shared" si="4"/>
        <v>0</v>
      </c>
      <c r="O24" s="204">
        <f t="shared" si="5"/>
        <v>222</v>
      </c>
      <c r="P24" s="204">
        <f t="shared" si="6"/>
        <v>388.5</v>
      </c>
    </row>
    <row r="25" spans="1:16">
      <c r="A25" s="129" t="s">
        <v>758</v>
      </c>
      <c r="B25" s="129"/>
      <c r="C25" s="3" t="s">
        <v>700</v>
      </c>
      <c r="D25" s="35" t="s">
        <v>16</v>
      </c>
      <c r="E25" s="131">
        <v>34.5</v>
      </c>
      <c r="F25" s="202">
        <v>0.1</v>
      </c>
      <c r="G25" s="203">
        <v>6</v>
      </c>
      <c r="H25" s="204">
        <f t="shared" si="0"/>
        <v>0.6</v>
      </c>
      <c r="I25" s="205"/>
      <c r="J25" s="206">
        <v>3</v>
      </c>
      <c r="K25" s="207">
        <f t="shared" si="1"/>
        <v>3.6</v>
      </c>
      <c r="L25" s="204">
        <f t="shared" si="2"/>
        <v>3.45</v>
      </c>
      <c r="M25" s="207">
        <f t="shared" si="3"/>
        <v>20.7</v>
      </c>
      <c r="N25" s="204">
        <f t="shared" si="4"/>
        <v>0</v>
      </c>
      <c r="O25" s="204">
        <f t="shared" si="5"/>
        <v>103.5</v>
      </c>
      <c r="P25" s="204">
        <f t="shared" si="6"/>
        <v>124.2</v>
      </c>
    </row>
    <row r="26" spans="1:16">
      <c r="A26" s="126" t="s">
        <v>759</v>
      </c>
      <c r="B26" s="126"/>
      <c r="C26" s="34" t="s">
        <v>701</v>
      </c>
      <c r="D26" s="35"/>
      <c r="E26" s="131"/>
      <c r="F26" s="202"/>
      <c r="G26" s="203">
        <v>6</v>
      </c>
      <c r="H26" s="204">
        <f t="shared" si="0"/>
        <v>0</v>
      </c>
      <c r="I26" s="205"/>
      <c r="J26" s="206"/>
      <c r="K26" s="207">
        <f t="shared" si="1"/>
        <v>0</v>
      </c>
      <c r="L26" s="204">
        <f t="shared" si="2"/>
        <v>0</v>
      </c>
      <c r="M26" s="207">
        <f t="shared" si="3"/>
        <v>0</v>
      </c>
      <c r="N26" s="204">
        <f t="shared" si="4"/>
        <v>0</v>
      </c>
      <c r="O26" s="204">
        <f t="shared" si="5"/>
        <v>0</v>
      </c>
      <c r="P26" s="204">
        <f t="shared" si="6"/>
        <v>0</v>
      </c>
    </row>
    <row r="27" spans="1:16">
      <c r="A27" s="129" t="s">
        <v>760</v>
      </c>
      <c r="B27" s="129"/>
      <c r="C27" s="37" t="s">
        <v>702</v>
      </c>
      <c r="D27" s="35"/>
      <c r="E27" s="131"/>
      <c r="F27" s="202"/>
      <c r="G27" s="203">
        <v>6</v>
      </c>
      <c r="H27" s="204">
        <f t="shared" si="0"/>
        <v>0</v>
      </c>
      <c r="I27" s="205"/>
      <c r="J27" s="206"/>
      <c r="K27" s="207">
        <f t="shared" si="1"/>
        <v>0</v>
      </c>
      <c r="L27" s="204">
        <f t="shared" si="2"/>
        <v>0</v>
      </c>
      <c r="M27" s="207">
        <f t="shared" si="3"/>
        <v>0</v>
      </c>
      <c r="N27" s="204">
        <f t="shared" si="4"/>
        <v>0</v>
      </c>
      <c r="O27" s="204">
        <f t="shared" si="5"/>
        <v>0</v>
      </c>
      <c r="P27" s="204">
        <f t="shared" si="6"/>
        <v>0</v>
      </c>
    </row>
    <row r="28" spans="1:16" ht="25.5">
      <c r="A28" s="129" t="s">
        <v>761</v>
      </c>
      <c r="B28" s="129"/>
      <c r="C28" s="38" t="s">
        <v>703</v>
      </c>
      <c r="D28" s="35" t="s">
        <v>20</v>
      </c>
      <c r="E28" s="131">
        <f>1.5*50</f>
        <v>75</v>
      </c>
      <c r="F28" s="202">
        <v>0.2</v>
      </c>
      <c r="G28" s="203">
        <v>6</v>
      </c>
      <c r="H28" s="204">
        <f t="shared" si="0"/>
        <v>1.2</v>
      </c>
      <c r="I28" s="205">
        <f>8*0.15</f>
        <v>1.2</v>
      </c>
      <c r="J28" s="205">
        <f>8*0.15</f>
        <v>1.2</v>
      </c>
      <c r="K28" s="207">
        <f t="shared" si="1"/>
        <v>3.6</v>
      </c>
      <c r="L28" s="204">
        <f t="shared" si="2"/>
        <v>15</v>
      </c>
      <c r="M28" s="207">
        <f t="shared" si="3"/>
        <v>90</v>
      </c>
      <c r="N28" s="204">
        <f t="shared" si="4"/>
        <v>90</v>
      </c>
      <c r="O28" s="204">
        <f t="shared" si="5"/>
        <v>90</v>
      </c>
      <c r="P28" s="204">
        <f t="shared" si="6"/>
        <v>270</v>
      </c>
    </row>
    <row r="29" spans="1:16" ht="25.5">
      <c r="A29" s="129" t="s">
        <v>762</v>
      </c>
      <c r="B29" s="129"/>
      <c r="C29" s="38" t="s">
        <v>777</v>
      </c>
      <c r="D29" s="35" t="s">
        <v>0</v>
      </c>
      <c r="E29" s="131">
        <v>50</v>
      </c>
      <c r="F29" s="202">
        <f>6/5</f>
        <v>1.2</v>
      </c>
      <c r="G29" s="203">
        <v>6</v>
      </c>
      <c r="H29" s="204">
        <f t="shared" si="0"/>
        <v>7.2</v>
      </c>
      <c r="I29" s="205">
        <v>3.8</v>
      </c>
      <c r="J29" s="206">
        <v>0.2</v>
      </c>
      <c r="K29" s="207">
        <f t="shared" si="1"/>
        <v>11.2</v>
      </c>
      <c r="L29" s="204">
        <f t="shared" si="2"/>
        <v>60</v>
      </c>
      <c r="M29" s="207">
        <f t="shared" si="3"/>
        <v>360</v>
      </c>
      <c r="N29" s="204">
        <f t="shared" si="4"/>
        <v>190</v>
      </c>
      <c r="O29" s="204">
        <f t="shared" si="5"/>
        <v>10</v>
      </c>
      <c r="P29" s="204">
        <f t="shared" si="6"/>
        <v>560</v>
      </c>
    </row>
    <row r="30" spans="1:16" ht="25.5">
      <c r="A30" s="129" t="s">
        <v>763</v>
      </c>
      <c r="B30" s="129"/>
      <c r="C30" s="38" t="s">
        <v>705</v>
      </c>
      <c r="D30" s="35" t="s">
        <v>20</v>
      </c>
      <c r="E30" s="131">
        <f>E28</f>
        <v>75</v>
      </c>
      <c r="F30" s="202">
        <v>0.2</v>
      </c>
      <c r="G30" s="203">
        <v>6</v>
      </c>
      <c r="H30" s="204">
        <f t="shared" ref="H30" si="7">ROUND(G30*F30,2)</f>
        <v>1.2</v>
      </c>
      <c r="I30" s="205">
        <f>8*0.15</f>
        <v>1.2</v>
      </c>
      <c r="J30" s="205">
        <f>8*0.15</f>
        <v>1.2</v>
      </c>
      <c r="K30" s="207">
        <f t="shared" si="1"/>
        <v>3.6</v>
      </c>
      <c r="L30" s="204">
        <f t="shared" si="2"/>
        <v>15</v>
      </c>
      <c r="M30" s="207">
        <f t="shared" si="3"/>
        <v>90</v>
      </c>
      <c r="N30" s="204">
        <f t="shared" si="4"/>
        <v>90</v>
      </c>
      <c r="O30" s="204">
        <f t="shared" si="5"/>
        <v>90</v>
      </c>
      <c r="P30" s="204">
        <f t="shared" si="6"/>
        <v>270</v>
      </c>
    </row>
    <row r="31" spans="1:16">
      <c r="A31" s="129" t="s">
        <v>764</v>
      </c>
      <c r="B31" s="129"/>
      <c r="C31" s="175" t="s">
        <v>706</v>
      </c>
      <c r="D31" s="35" t="s">
        <v>707</v>
      </c>
      <c r="E31" s="131">
        <v>0.05</v>
      </c>
      <c r="F31" s="202">
        <v>4</v>
      </c>
      <c r="G31" s="203">
        <v>6</v>
      </c>
      <c r="H31" s="204">
        <f t="shared" si="0"/>
        <v>24</v>
      </c>
      <c r="I31" s="205">
        <v>50</v>
      </c>
      <c r="J31" s="206">
        <v>10</v>
      </c>
      <c r="K31" s="207">
        <f t="shared" si="1"/>
        <v>84</v>
      </c>
      <c r="L31" s="204">
        <f t="shared" si="2"/>
        <v>0.2</v>
      </c>
      <c r="M31" s="207">
        <f t="shared" si="3"/>
        <v>1.2</v>
      </c>
      <c r="N31" s="204">
        <f t="shared" si="4"/>
        <v>2.5</v>
      </c>
      <c r="O31" s="204">
        <f t="shared" si="5"/>
        <v>0.5</v>
      </c>
      <c r="P31" s="204">
        <f t="shared" si="6"/>
        <v>4.2</v>
      </c>
    </row>
    <row r="32" spans="1:16">
      <c r="A32" s="126" t="s">
        <v>765</v>
      </c>
      <c r="B32" s="126"/>
      <c r="C32" s="37" t="s">
        <v>708</v>
      </c>
      <c r="D32" s="35"/>
      <c r="E32" s="131"/>
      <c r="F32" s="202"/>
      <c r="G32" s="203">
        <v>6</v>
      </c>
      <c r="H32" s="204">
        <f t="shared" si="0"/>
        <v>0</v>
      </c>
      <c r="I32" s="205"/>
      <c r="J32" s="206"/>
      <c r="K32" s="207">
        <f t="shared" si="1"/>
        <v>0</v>
      </c>
      <c r="L32" s="204">
        <f t="shared" si="2"/>
        <v>0</v>
      </c>
      <c r="M32" s="207">
        <f t="shared" si="3"/>
        <v>0</v>
      </c>
      <c r="N32" s="204">
        <f t="shared" si="4"/>
        <v>0</v>
      </c>
      <c r="O32" s="204">
        <f t="shared" si="5"/>
        <v>0</v>
      </c>
      <c r="P32" s="204">
        <f t="shared" si="6"/>
        <v>0</v>
      </c>
    </row>
    <row r="33" spans="1:16" ht="25.5">
      <c r="A33" s="129" t="s">
        <v>766</v>
      </c>
      <c r="B33" s="129"/>
      <c r="C33" s="38" t="s">
        <v>778</v>
      </c>
      <c r="D33" s="35" t="s">
        <v>22</v>
      </c>
      <c r="E33" s="131">
        <v>6</v>
      </c>
      <c r="F33" s="202">
        <v>3</v>
      </c>
      <c r="G33" s="203">
        <v>6</v>
      </c>
      <c r="H33" s="204">
        <f t="shared" si="0"/>
        <v>18</v>
      </c>
      <c r="I33" s="205">
        <v>25</v>
      </c>
      <c r="J33" s="206">
        <v>0.5</v>
      </c>
      <c r="K33" s="207">
        <f t="shared" si="1"/>
        <v>43.5</v>
      </c>
      <c r="L33" s="204">
        <f t="shared" si="2"/>
        <v>18</v>
      </c>
      <c r="M33" s="207">
        <f t="shared" si="3"/>
        <v>108</v>
      </c>
      <c r="N33" s="204">
        <f t="shared" si="4"/>
        <v>150</v>
      </c>
      <c r="O33" s="204">
        <f t="shared" si="5"/>
        <v>3</v>
      </c>
      <c r="P33" s="204">
        <f t="shared" si="6"/>
        <v>261</v>
      </c>
    </row>
    <row r="34" spans="1:16" ht="51">
      <c r="A34" s="129" t="s">
        <v>767</v>
      </c>
      <c r="B34" s="129"/>
      <c r="C34" s="38" t="s">
        <v>779</v>
      </c>
      <c r="D34" s="35" t="s">
        <v>710</v>
      </c>
      <c r="E34" s="131">
        <v>2</v>
      </c>
      <c r="F34" s="277">
        <f t="shared" ref="F34:F36" si="8">30/5</f>
        <v>6</v>
      </c>
      <c r="G34" s="203">
        <v>6</v>
      </c>
      <c r="H34" s="278">
        <f t="shared" si="0"/>
        <v>36</v>
      </c>
      <c r="I34" s="278">
        <v>250</v>
      </c>
      <c r="J34" s="277">
        <v>10</v>
      </c>
      <c r="K34" s="207">
        <f t="shared" si="1"/>
        <v>296</v>
      </c>
      <c r="L34" s="204">
        <f t="shared" si="2"/>
        <v>12</v>
      </c>
      <c r="M34" s="207">
        <f t="shared" si="3"/>
        <v>72</v>
      </c>
      <c r="N34" s="204">
        <f t="shared" si="4"/>
        <v>500</v>
      </c>
      <c r="O34" s="204">
        <f t="shared" si="5"/>
        <v>20</v>
      </c>
      <c r="P34" s="204">
        <f t="shared" si="6"/>
        <v>592</v>
      </c>
    </row>
    <row r="35" spans="1:16" ht="51">
      <c r="A35" s="129" t="s">
        <v>768</v>
      </c>
      <c r="B35" s="129"/>
      <c r="C35" s="38" t="s">
        <v>780</v>
      </c>
      <c r="D35" s="35" t="s">
        <v>710</v>
      </c>
      <c r="E35" s="131">
        <v>2</v>
      </c>
      <c r="F35" s="277">
        <f t="shared" si="8"/>
        <v>6</v>
      </c>
      <c r="G35" s="203">
        <v>6</v>
      </c>
      <c r="H35" s="278">
        <f t="shared" ref="H35:H36" si="9">ROUND(G35*F35,2)</f>
        <v>36</v>
      </c>
      <c r="I35" s="278">
        <v>250</v>
      </c>
      <c r="J35" s="277">
        <v>10</v>
      </c>
      <c r="K35" s="207">
        <f t="shared" si="1"/>
        <v>296</v>
      </c>
      <c r="L35" s="204">
        <f t="shared" si="2"/>
        <v>12</v>
      </c>
      <c r="M35" s="207">
        <f t="shared" si="3"/>
        <v>72</v>
      </c>
      <c r="N35" s="204">
        <f t="shared" si="4"/>
        <v>500</v>
      </c>
      <c r="O35" s="204">
        <f t="shared" si="5"/>
        <v>20</v>
      </c>
      <c r="P35" s="204">
        <f t="shared" si="6"/>
        <v>592</v>
      </c>
    </row>
    <row r="36" spans="1:16" ht="51">
      <c r="A36" s="129" t="s">
        <v>769</v>
      </c>
      <c r="B36" s="129"/>
      <c r="C36" s="38" t="s">
        <v>781</v>
      </c>
      <c r="D36" s="35" t="s">
        <v>710</v>
      </c>
      <c r="E36" s="131">
        <v>1</v>
      </c>
      <c r="F36" s="277">
        <f t="shared" si="8"/>
        <v>6</v>
      </c>
      <c r="G36" s="203">
        <v>6</v>
      </c>
      <c r="H36" s="278">
        <f t="shared" si="9"/>
        <v>36</v>
      </c>
      <c r="I36" s="278">
        <v>250</v>
      </c>
      <c r="J36" s="277">
        <v>10</v>
      </c>
      <c r="K36" s="207">
        <f t="shared" si="1"/>
        <v>296</v>
      </c>
      <c r="L36" s="204">
        <f t="shared" si="2"/>
        <v>6</v>
      </c>
      <c r="M36" s="207">
        <f t="shared" si="3"/>
        <v>36</v>
      </c>
      <c r="N36" s="204">
        <f t="shared" si="4"/>
        <v>250</v>
      </c>
      <c r="O36" s="204">
        <f t="shared" si="5"/>
        <v>10</v>
      </c>
      <c r="P36" s="204">
        <f t="shared" si="6"/>
        <v>296</v>
      </c>
    </row>
    <row r="37" spans="1:16">
      <c r="A37" s="126" t="s">
        <v>770</v>
      </c>
      <c r="B37" s="126"/>
      <c r="C37" s="37" t="s">
        <v>782</v>
      </c>
      <c r="D37" s="35"/>
      <c r="E37" s="131"/>
      <c r="F37" s="202"/>
      <c r="G37" s="203">
        <v>6</v>
      </c>
      <c r="H37" s="204">
        <f t="shared" si="0"/>
        <v>0</v>
      </c>
      <c r="I37" s="205"/>
      <c r="J37" s="206"/>
      <c r="K37" s="207">
        <f t="shared" si="1"/>
        <v>0</v>
      </c>
      <c r="L37" s="204">
        <f t="shared" si="2"/>
        <v>0</v>
      </c>
      <c r="M37" s="207">
        <f t="shared" si="3"/>
        <v>0</v>
      </c>
      <c r="N37" s="204">
        <f t="shared" si="4"/>
        <v>0</v>
      </c>
      <c r="O37" s="204">
        <f t="shared" si="5"/>
        <v>0</v>
      </c>
      <c r="P37" s="204">
        <f t="shared" si="6"/>
        <v>0</v>
      </c>
    </row>
    <row r="38" spans="1:16" ht="48">
      <c r="A38" s="129" t="s">
        <v>771</v>
      </c>
      <c r="B38" s="129"/>
      <c r="C38" s="31" t="s">
        <v>783</v>
      </c>
      <c r="D38" s="26" t="s">
        <v>710</v>
      </c>
      <c r="E38" s="176">
        <v>2</v>
      </c>
      <c r="F38" s="202">
        <f>120/5</f>
        <v>24</v>
      </c>
      <c r="G38" s="203">
        <v>6</v>
      </c>
      <c r="H38" s="204">
        <f t="shared" si="0"/>
        <v>144</v>
      </c>
      <c r="I38" s="205">
        <f>56*12+150</f>
        <v>822</v>
      </c>
      <c r="J38" s="206">
        <v>150</v>
      </c>
      <c r="K38" s="207">
        <f t="shared" si="1"/>
        <v>1116</v>
      </c>
      <c r="L38" s="204">
        <f t="shared" si="2"/>
        <v>48</v>
      </c>
      <c r="M38" s="207">
        <f t="shared" si="3"/>
        <v>288</v>
      </c>
      <c r="N38" s="204">
        <f t="shared" si="4"/>
        <v>1644</v>
      </c>
      <c r="O38" s="204">
        <f t="shared" si="5"/>
        <v>300</v>
      </c>
      <c r="P38" s="204">
        <f t="shared" si="6"/>
        <v>2232</v>
      </c>
    </row>
    <row r="39" spans="1:16" ht="25.5">
      <c r="A39" s="126" t="s">
        <v>772</v>
      </c>
      <c r="B39" s="126"/>
      <c r="C39" s="37" t="s">
        <v>711</v>
      </c>
      <c r="D39" s="35"/>
      <c r="E39" s="131"/>
      <c r="F39" s="202"/>
      <c r="G39" s="203">
        <v>6</v>
      </c>
      <c r="H39" s="204">
        <f t="shared" si="0"/>
        <v>0</v>
      </c>
      <c r="I39" s="205"/>
      <c r="J39" s="206"/>
      <c r="K39" s="207">
        <f t="shared" si="1"/>
        <v>0</v>
      </c>
      <c r="L39" s="204">
        <f t="shared" si="2"/>
        <v>0</v>
      </c>
      <c r="M39" s="207">
        <f t="shared" si="3"/>
        <v>0</v>
      </c>
      <c r="N39" s="204">
        <f t="shared" si="4"/>
        <v>0</v>
      </c>
      <c r="O39" s="204">
        <f t="shared" si="5"/>
        <v>0</v>
      </c>
      <c r="P39" s="204">
        <f t="shared" si="6"/>
        <v>0</v>
      </c>
    </row>
    <row r="40" spans="1:16">
      <c r="A40" s="129" t="s">
        <v>773</v>
      </c>
      <c r="B40" s="129"/>
      <c r="C40" s="177" t="s">
        <v>712</v>
      </c>
      <c r="D40" s="35" t="s">
        <v>0</v>
      </c>
      <c r="E40" s="131">
        <f>E18</f>
        <v>50</v>
      </c>
      <c r="F40" s="202">
        <v>0.4</v>
      </c>
      <c r="G40" s="203">
        <v>6</v>
      </c>
      <c r="H40" s="204">
        <f t="shared" si="0"/>
        <v>2.4</v>
      </c>
      <c r="I40" s="205"/>
      <c r="J40" s="206">
        <v>2</v>
      </c>
      <c r="K40" s="207">
        <f t="shared" si="1"/>
        <v>4.4000000000000004</v>
      </c>
      <c r="L40" s="204">
        <f t="shared" si="2"/>
        <v>20</v>
      </c>
      <c r="M40" s="207">
        <f t="shared" si="3"/>
        <v>120</v>
      </c>
      <c r="N40" s="204">
        <f t="shared" si="4"/>
        <v>0</v>
      </c>
      <c r="O40" s="204">
        <f t="shared" si="5"/>
        <v>100</v>
      </c>
      <c r="P40" s="204">
        <f t="shared" si="6"/>
        <v>220</v>
      </c>
    </row>
    <row r="41" spans="1:16" ht="25.5">
      <c r="A41" s="129" t="s">
        <v>774</v>
      </c>
      <c r="B41" s="129"/>
      <c r="C41" s="177" t="s">
        <v>713</v>
      </c>
      <c r="D41" s="35" t="s">
        <v>18</v>
      </c>
      <c r="E41" s="131">
        <v>1</v>
      </c>
      <c r="F41" s="202">
        <v>10</v>
      </c>
      <c r="G41" s="203">
        <v>6</v>
      </c>
      <c r="H41" s="204">
        <f t="shared" si="0"/>
        <v>60</v>
      </c>
      <c r="I41" s="205"/>
      <c r="J41" s="206">
        <v>10</v>
      </c>
      <c r="K41" s="207">
        <f t="shared" si="1"/>
        <v>70</v>
      </c>
      <c r="L41" s="204">
        <f t="shared" si="2"/>
        <v>10</v>
      </c>
      <c r="M41" s="207">
        <f t="shared" si="3"/>
        <v>60</v>
      </c>
      <c r="N41" s="204">
        <f t="shared" si="4"/>
        <v>0</v>
      </c>
      <c r="O41" s="204">
        <f t="shared" si="5"/>
        <v>10</v>
      </c>
      <c r="P41" s="204">
        <f t="shared" si="6"/>
        <v>70</v>
      </c>
    </row>
    <row r="42" spans="1:16" ht="15">
      <c r="A42" s="199"/>
      <c r="B42" s="199"/>
      <c r="C42" s="200"/>
      <c r="D42" s="154"/>
      <c r="E42" s="201"/>
      <c r="F42" s="202"/>
      <c r="G42" s="203"/>
      <c r="H42" s="204"/>
      <c r="I42" s="205"/>
      <c r="J42" s="206"/>
      <c r="K42" s="207"/>
      <c r="L42" s="204"/>
      <c r="M42" s="207"/>
      <c r="N42" s="204"/>
      <c r="O42" s="204"/>
      <c r="P42" s="204"/>
    </row>
    <row r="43" spans="1:16">
      <c r="A43" s="208"/>
      <c r="B43" s="208"/>
      <c r="C43" s="209" t="s">
        <v>1112</v>
      </c>
      <c r="D43" s="210"/>
      <c r="E43" s="211"/>
      <c r="F43" s="212"/>
      <c r="G43" s="212"/>
      <c r="H43" s="212"/>
      <c r="I43" s="212"/>
      <c r="J43" s="213"/>
      <c r="K43" s="213"/>
      <c r="L43" s="214">
        <f>SUM(L18:L42)</f>
        <v>276.89999999999998</v>
      </c>
      <c r="M43" s="214">
        <f t="shared" ref="M43:P43" si="10">SUM(M18:M42)</f>
        <v>1661.4</v>
      </c>
      <c r="N43" s="214">
        <f t="shared" si="10"/>
        <v>3416.5</v>
      </c>
      <c r="O43" s="214">
        <f t="shared" si="10"/>
        <v>1316.5</v>
      </c>
      <c r="P43" s="214">
        <f t="shared" si="10"/>
        <v>6394.4</v>
      </c>
    </row>
    <row r="44" spans="1:16" ht="15" customHeight="1">
      <c r="A44" s="215" t="s">
        <v>1113</v>
      </c>
      <c r="B44" s="215"/>
      <c r="C44" s="216"/>
      <c r="D44" s="215"/>
      <c r="E44" s="217"/>
      <c r="F44" s="217"/>
      <c r="G44" s="217"/>
      <c r="H44" s="217"/>
      <c r="I44" s="217"/>
      <c r="J44" s="217"/>
      <c r="K44" s="217"/>
      <c r="L44" s="218"/>
      <c r="M44" s="218"/>
      <c r="N44" s="218"/>
      <c r="O44" s="218"/>
      <c r="P44" s="218"/>
    </row>
    <row r="45" spans="1:16" ht="15.75">
      <c r="A45" s="219"/>
      <c r="B45" s="219"/>
      <c r="C45" s="220"/>
      <c r="D45" s="219"/>
      <c r="E45" s="219"/>
      <c r="F45" s="219"/>
      <c r="G45" s="219"/>
      <c r="H45" s="219"/>
      <c r="I45" s="219"/>
      <c r="J45" s="219"/>
      <c r="K45" s="219"/>
      <c r="L45" s="219"/>
      <c r="M45" s="219"/>
      <c r="N45" s="219"/>
      <c r="O45" s="219"/>
      <c r="P45" s="219"/>
    </row>
    <row r="46" spans="1:16" ht="15">
      <c r="A46" s="219"/>
      <c r="B46" s="219"/>
      <c r="C46" s="219"/>
      <c r="D46" s="219"/>
      <c r="E46" s="219"/>
      <c r="F46" s="219"/>
      <c r="G46" s="219"/>
      <c r="H46" s="219"/>
      <c r="I46" s="219"/>
      <c r="J46" s="219"/>
      <c r="K46" s="219"/>
      <c r="L46" s="219"/>
      <c r="M46" s="219"/>
      <c r="N46" s="219"/>
      <c r="O46" s="219"/>
      <c r="P46" s="219"/>
    </row>
    <row r="47" spans="1:16" ht="15">
      <c r="A47" s="219"/>
      <c r="B47" s="219"/>
      <c r="C47" s="221" t="s">
        <v>1114</v>
      </c>
      <c r="D47" s="221"/>
      <c r="E47" s="221"/>
      <c r="F47" s="221"/>
      <c r="G47" s="222"/>
      <c r="H47" s="223"/>
      <c r="I47" s="223" t="s">
        <v>1115</v>
      </c>
      <c r="J47" s="222" t="s">
        <v>1116</v>
      </c>
      <c r="K47" s="222"/>
      <c r="L47" s="222"/>
      <c r="M47" s="222"/>
      <c r="N47" s="224"/>
      <c r="O47" s="219"/>
      <c r="P47" s="219"/>
    </row>
    <row r="48" spans="1:16" ht="15" customHeight="1">
      <c r="A48" s="219"/>
      <c r="B48" s="219"/>
      <c r="C48" s="225" t="s">
        <v>1097</v>
      </c>
      <c r="D48" s="225"/>
      <c r="E48" s="225"/>
      <c r="F48" s="225"/>
      <c r="G48" s="222"/>
      <c r="H48" s="222"/>
      <c r="I48" s="222"/>
      <c r="J48" s="312" t="s">
        <v>1097</v>
      </c>
      <c r="K48" s="312"/>
      <c r="L48" s="312"/>
      <c r="M48" s="312"/>
      <c r="N48" s="224"/>
      <c r="O48" s="219"/>
      <c r="P48" s="219"/>
    </row>
    <row r="49" spans="1:16" ht="15">
      <c r="A49" s="219"/>
      <c r="B49" s="219"/>
      <c r="C49" s="222" t="s">
        <v>1075</v>
      </c>
      <c r="D49" s="222"/>
      <c r="E49" s="222"/>
      <c r="F49" s="222"/>
      <c r="G49" s="222"/>
      <c r="H49" s="222"/>
      <c r="I49" s="222" t="s">
        <v>1078</v>
      </c>
      <c r="J49" s="222"/>
      <c r="K49" s="222"/>
      <c r="L49" s="222"/>
      <c r="M49" s="222"/>
      <c r="N49" s="224"/>
      <c r="O49" s="219"/>
      <c r="P49" s="219"/>
    </row>
    <row r="50" spans="1:16">
      <c r="A50" s="166"/>
      <c r="B50" s="166"/>
    </row>
    <row r="51" spans="1:16" ht="15" customHeight="1">
      <c r="A51" s="166"/>
      <c r="B51" s="166"/>
    </row>
    <row r="52" spans="1:16" s="157" customFormat="1">
      <c r="A52" s="166"/>
      <c r="B52" s="166"/>
      <c r="C52" s="121"/>
      <c r="D52" s="121"/>
      <c r="E52" s="121"/>
      <c r="F52" s="121"/>
      <c r="G52" s="121"/>
      <c r="H52" s="121"/>
      <c r="I52" s="121"/>
      <c r="J52" s="121"/>
      <c r="K52" s="121"/>
      <c r="L52" s="121"/>
      <c r="M52" s="121"/>
      <c r="N52" s="121"/>
      <c r="O52" s="121"/>
      <c r="P52" s="121"/>
    </row>
    <row r="53" spans="1:16">
      <c r="A53" s="166"/>
      <c r="B53" s="166"/>
    </row>
    <row r="54" spans="1:16">
      <c r="A54" s="166"/>
      <c r="B54" s="166"/>
    </row>
  </sheetData>
  <mergeCells count="15">
    <mergeCell ref="A9:E9"/>
    <mergeCell ref="A2:E2"/>
    <mergeCell ref="A4:E4"/>
    <mergeCell ref="A5:E5"/>
    <mergeCell ref="A7:E7"/>
    <mergeCell ref="A8:E8"/>
    <mergeCell ref="F14:K14"/>
    <mergeCell ref="L14:P14"/>
    <mergeCell ref="J48:M48"/>
    <mergeCell ref="A12:E12"/>
    <mergeCell ref="A14:A15"/>
    <mergeCell ref="C14:C15"/>
    <mergeCell ref="D14:D15"/>
    <mergeCell ref="E14:E15"/>
    <mergeCell ref="B14:B15"/>
  </mergeCells>
  <pageMargins left="1.24" right="0.70866141732283472" top="0.27559055118110237" bottom="0.19685039370078741" header="0.15748031496062992" footer="0.11811023622047245"/>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P84"/>
  <sheetViews>
    <sheetView showZeros="0" topLeftCell="A12" zoomScale="90" zoomScaleNormal="90" workbookViewId="0">
      <selection activeCell="P76" sqref="P76"/>
    </sheetView>
  </sheetViews>
  <sheetFormatPr defaultColWidth="9.140625" defaultRowHeight="12.75"/>
  <cols>
    <col min="1" max="2" width="9.140625" style="121"/>
    <col min="3" max="3" width="55.140625" style="121" customWidth="1"/>
    <col min="4" max="4" width="11.140625" style="121" bestFit="1" customWidth="1"/>
    <col min="5" max="5" width="10.42578125" style="121" customWidth="1"/>
    <col min="6" max="16384" width="9.140625" style="121"/>
  </cols>
  <sheetData>
    <row r="2" spans="1:16">
      <c r="A2" s="313" t="s">
        <v>107</v>
      </c>
      <c r="B2" s="313"/>
      <c r="C2" s="313"/>
      <c r="D2" s="313"/>
      <c r="E2" s="313"/>
      <c r="F2" s="158"/>
    </row>
    <row r="3" spans="1:16">
      <c r="A3" s="122"/>
      <c r="B3" s="122"/>
      <c r="C3" s="122"/>
      <c r="D3" s="122"/>
      <c r="E3" s="122"/>
      <c r="F3" s="158"/>
    </row>
    <row r="4" spans="1:16">
      <c r="A4" s="314" t="s">
        <v>391</v>
      </c>
      <c r="B4" s="314"/>
      <c r="C4" s="314"/>
      <c r="D4" s="314"/>
      <c r="E4" s="314"/>
    </row>
    <row r="5" spans="1:16">
      <c r="A5" s="315" t="s">
        <v>25</v>
      </c>
      <c r="B5" s="315"/>
      <c r="C5" s="315"/>
      <c r="D5" s="315"/>
      <c r="E5" s="315"/>
    </row>
    <row r="6" spans="1:16">
      <c r="C6" s="123"/>
    </row>
    <row r="7" spans="1:16" s="124" customFormat="1">
      <c r="A7" s="281" t="s">
        <v>150</v>
      </c>
      <c r="B7" s="281"/>
      <c r="C7" s="281"/>
      <c r="D7" s="281"/>
      <c r="E7" s="281"/>
      <c r="F7" s="1"/>
      <c r="G7" s="1"/>
      <c r="H7" s="1"/>
      <c r="I7" s="1"/>
      <c r="J7" s="1"/>
      <c r="K7" s="1"/>
    </row>
    <row r="8" spans="1:16" s="124" customFormat="1" ht="12.75" customHeight="1">
      <c r="A8" s="281" t="s">
        <v>151</v>
      </c>
      <c r="B8" s="281"/>
      <c r="C8" s="281"/>
      <c r="D8" s="281"/>
      <c r="E8" s="281"/>
      <c r="F8" s="1"/>
      <c r="G8" s="1"/>
      <c r="H8" s="1"/>
      <c r="I8" s="1"/>
    </row>
    <row r="9" spans="1:16" s="124" customFormat="1">
      <c r="A9" s="282" t="s">
        <v>152</v>
      </c>
      <c r="B9" s="282"/>
      <c r="C9" s="282"/>
      <c r="D9" s="282"/>
      <c r="E9" s="282"/>
      <c r="O9" s="159"/>
      <c r="P9" s="159"/>
    </row>
    <row r="10" spans="1:16" s="124" customFormat="1" ht="15" customHeight="1">
      <c r="A10" s="124" t="s">
        <v>17</v>
      </c>
    </row>
    <row r="11" spans="1:16" s="124" customFormat="1">
      <c r="A11" s="125"/>
      <c r="B11" s="125"/>
      <c r="C11" s="125"/>
      <c r="D11" s="125"/>
      <c r="E11" s="125"/>
    </row>
    <row r="12" spans="1:16" s="124" customFormat="1" ht="15" customHeight="1">
      <c r="A12" s="282" t="s">
        <v>392</v>
      </c>
      <c r="B12" s="282"/>
      <c r="C12" s="282"/>
      <c r="D12" s="282"/>
      <c r="E12" s="282"/>
    </row>
    <row r="13" spans="1:16">
      <c r="C13" s="123"/>
    </row>
    <row r="14" spans="1:16">
      <c r="A14" s="316" t="s">
        <v>1</v>
      </c>
      <c r="B14" s="316" t="s">
        <v>1098</v>
      </c>
      <c r="C14" s="317" t="s">
        <v>24</v>
      </c>
      <c r="D14" s="318" t="s">
        <v>2</v>
      </c>
      <c r="E14" s="318" t="s">
        <v>3</v>
      </c>
      <c r="F14" s="311" t="s">
        <v>1099</v>
      </c>
      <c r="G14" s="311"/>
      <c r="H14" s="311"/>
      <c r="I14" s="311"/>
      <c r="J14" s="311"/>
      <c r="K14" s="311"/>
      <c r="L14" s="311" t="s">
        <v>1100</v>
      </c>
      <c r="M14" s="311" t="s">
        <v>1101</v>
      </c>
      <c r="N14" s="311"/>
      <c r="O14" s="311"/>
      <c r="P14" s="311"/>
    </row>
    <row r="15" spans="1:16" ht="69.75">
      <c r="A15" s="316"/>
      <c r="B15" s="316"/>
      <c r="C15" s="317"/>
      <c r="D15" s="318"/>
      <c r="E15" s="318"/>
      <c r="F15" s="196" t="s">
        <v>1102</v>
      </c>
      <c r="G15" s="197" t="s">
        <v>1103</v>
      </c>
      <c r="H15" s="197" t="s">
        <v>1104</v>
      </c>
      <c r="I15" s="198" t="s">
        <v>1105</v>
      </c>
      <c r="J15" s="197" t="s">
        <v>1106</v>
      </c>
      <c r="K15" s="197" t="s">
        <v>1107</v>
      </c>
      <c r="L15" s="196" t="s">
        <v>1088</v>
      </c>
      <c r="M15" s="197" t="s">
        <v>1108</v>
      </c>
      <c r="N15" s="198" t="s">
        <v>1109</v>
      </c>
      <c r="O15" s="197" t="s">
        <v>1110</v>
      </c>
      <c r="P15" s="197" t="s">
        <v>1111</v>
      </c>
    </row>
    <row r="16" spans="1:16">
      <c r="A16" s="126" t="s">
        <v>114</v>
      </c>
      <c r="B16" s="126"/>
      <c r="C16" s="22" t="s">
        <v>547</v>
      </c>
      <c r="D16" s="167"/>
      <c r="E16" s="167"/>
      <c r="F16" s="226"/>
      <c r="G16" s="227"/>
      <c r="H16" s="227"/>
      <c r="I16" s="227"/>
      <c r="J16" s="227"/>
      <c r="K16" s="227"/>
      <c r="L16" s="227"/>
      <c r="M16" s="227"/>
      <c r="N16" s="227"/>
      <c r="O16" s="227"/>
      <c r="P16" s="227"/>
    </row>
    <row r="17" spans="1:16">
      <c r="A17" s="129" t="s">
        <v>115</v>
      </c>
      <c r="B17" s="129"/>
      <c r="C17" s="2" t="s">
        <v>548</v>
      </c>
      <c r="D17" s="6" t="s">
        <v>0</v>
      </c>
      <c r="E17" s="133">
        <v>4</v>
      </c>
      <c r="F17" s="202">
        <f>7/5</f>
        <v>1.4</v>
      </c>
      <c r="G17" s="203">
        <v>6</v>
      </c>
      <c r="H17" s="204">
        <f t="shared" ref="H17:H71" si="0">ROUND(G17*F17,2)</f>
        <v>8.4</v>
      </c>
      <c r="I17" s="205">
        <v>20.04</v>
      </c>
      <c r="J17" s="206">
        <v>0.5</v>
      </c>
      <c r="K17" s="207">
        <f t="shared" ref="K17:K71" si="1">SUM(H17:J17)</f>
        <v>28.94</v>
      </c>
      <c r="L17" s="204">
        <f t="shared" ref="L17:L71" si="2">ROUND(F17*E17,2)</f>
        <v>5.6</v>
      </c>
      <c r="M17" s="207">
        <f t="shared" ref="M17:M71" si="3">ROUND(H17*E17,2)</f>
        <v>33.6</v>
      </c>
      <c r="N17" s="204">
        <f t="shared" ref="N17:N71" si="4">ROUND(I17*E17,2)</f>
        <v>80.16</v>
      </c>
      <c r="O17" s="204">
        <f t="shared" ref="O17:O71" si="5">ROUND(J17*E17,2)</f>
        <v>2</v>
      </c>
      <c r="P17" s="204">
        <f t="shared" ref="P17:P71" si="6">SUM(M17:O17)</f>
        <v>115.76</v>
      </c>
    </row>
    <row r="18" spans="1:16">
      <c r="A18" s="129" t="s">
        <v>116</v>
      </c>
      <c r="B18" s="129"/>
      <c r="C18" s="2" t="s">
        <v>549</v>
      </c>
      <c r="D18" s="6" t="s">
        <v>0</v>
      </c>
      <c r="E18" s="133">
        <v>6</v>
      </c>
      <c r="F18" s="202">
        <f t="shared" ref="F18:F21" si="7">7/5</f>
        <v>1.4</v>
      </c>
      <c r="G18" s="203">
        <v>6</v>
      </c>
      <c r="H18" s="204">
        <f t="shared" si="0"/>
        <v>8.4</v>
      </c>
      <c r="I18" s="205">
        <v>9.27</v>
      </c>
      <c r="J18" s="206">
        <v>0.5</v>
      </c>
      <c r="K18" s="207">
        <f t="shared" si="1"/>
        <v>18.170000000000002</v>
      </c>
      <c r="L18" s="204">
        <f t="shared" si="2"/>
        <v>8.4</v>
      </c>
      <c r="M18" s="207">
        <f t="shared" si="3"/>
        <v>50.4</v>
      </c>
      <c r="N18" s="204">
        <f t="shared" si="4"/>
        <v>55.62</v>
      </c>
      <c r="O18" s="204">
        <f t="shared" si="5"/>
        <v>3</v>
      </c>
      <c r="P18" s="204">
        <f t="shared" si="6"/>
        <v>109.02</v>
      </c>
    </row>
    <row r="19" spans="1:16">
      <c r="A19" s="129" t="s">
        <v>117</v>
      </c>
      <c r="B19" s="129"/>
      <c r="C19" s="2" t="s">
        <v>550</v>
      </c>
      <c r="D19" s="6" t="s">
        <v>0</v>
      </c>
      <c r="E19" s="133">
        <v>8</v>
      </c>
      <c r="F19" s="202">
        <f t="shared" si="7"/>
        <v>1.4</v>
      </c>
      <c r="G19" s="203">
        <v>6</v>
      </c>
      <c r="H19" s="204">
        <f t="shared" si="0"/>
        <v>8.4</v>
      </c>
      <c r="I19" s="205">
        <v>8.2799999999999994</v>
      </c>
      <c r="J19" s="206">
        <v>0.5</v>
      </c>
      <c r="K19" s="207">
        <f t="shared" si="1"/>
        <v>17.18</v>
      </c>
      <c r="L19" s="204">
        <f t="shared" si="2"/>
        <v>11.2</v>
      </c>
      <c r="M19" s="207">
        <f t="shared" si="3"/>
        <v>67.2</v>
      </c>
      <c r="N19" s="204">
        <f t="shared" si="4"/>
        <v>66.239999999999995</v>
      </c>
      <c r="O19" s="204">
        <f t="shared" si="5"/>
        <v>4</v>
      </c>
      <c r="P19" s="204">
        <f t="shared" si="6"/>
        <v>137.44</v>
      </c>
    </row>
    <row r="20" spans="1:16">
      <c r="A20" s="129" t="s">
        <v>118</v>
      </c>
      <c r="B20" s="129"/>
      <c r="C20" s="2" t="s">
        <v>551</v>
      </c>
      <c r="D20" s="6" t="s">
        <v>0</v>
      </c>
      <c r="E20" s="133">
        <v>12</v>
      </c>
      <c r="F20" s="202">
        <f t="shared" si="7"/>
        <v>1.4</v>
      </c>
      <c r="G20" s="203">
        <v>6</v>
      </c>
      <c r="H20" s="204">
        <f t="shared" si="0"/>
        <v>8.4</v>
      </c>
      <c r="I20" s="205">
        <v>4.7699999999999996</v>
      </c>
      <c r="J20" s="206">
        <v>0.5</v>
      </c>
      <c r="K20" s="207">
        <f t="shared" si="1"/>
        <v>13.67</v>
      </c>
      <c r="L20" s="204">
        <f t="shared" si="2"/>
        <v>16.8</v>
      </c>
      <c r="M20" s="207">
        <f t="shared" si="3"/>
        <v>100.8</v>
      </c>
      <c r="N20" s="204">
        <f t="shared" si="4"/>
        <v>57.24</v>
      </c>
      <c r="O20" s="204">
        <f t="shared" si="5"/>
        <v>6</v>
      </c>
      <c r="P20" s="204">
        <f t="shared" si="6"/>
        <v>164.04</v>
      </c>
    </row>
    <row r="21" spans="1:16">
      <c r="A21" s="129" t="s">
        <v>119</v>
      </c>
      <c r="B21" s="129"/>
      <c r="C21" s="2" t="s">
        <v>552</v>
      </c>
      <c r="D21" s="6" t="s">
        <v>0</v>
      </c>
      <c r="E21" s="133">
        <v>2</v>
      </c>
      <c r="F21" s="202">
        <f t="shared" si="7"/>
        <v>1.4</v>
      </c>
      <c r="G21" s="203">
        <v>6</v>
      </c>
      <c r="H21" s="204">
        <f t="shared" si="0"/>
        <v>8.4</v>
      </c>
      <c r="I21" s="205">
        <v>3.14</v>
      </c>
      <c r="J21" s="206">
        <v>0.5</v>
      </c>
      <c r="K21" s="207">
        <f t="shared" si="1"/>
        <v>12.04</v>
      </c>
      <c r="L21" s="204">
        <f t="shared" si="2"/>
        <v>2.8</v>
      </c>
      <c r="M21" s="207">
        <f t="shared" si="3"/>
        <v>16.8</v>
      </c>
      <c r="N21" s="204">
        <f t="shared" si="4"/>
        <v>6.28</v>
      </c>
      <c r="O21" s="204">
        <f t="shared" si="5"/>
        <v>1</v>
      </c>
      <c r="P21" s="204">
        <f t="shared" si="6"/>
        <v>24.08</v>
      </c>
    </row>
    <row r="22" spans="1:16">
      <c r="A22" s="129" t="s">
        <v>591</v>
      </c>
      <c r="B22" s="129"/>
      <c r="C22" s="2" t="s">
        <v>632</v>
      </c>
      <c r="D22" s="6" t="s">
        <v>22</v>
      </c>
      <c r="E22" s="133">
        <v>1</v>
      </c>
      <c r="F22" s="275">
        <v>7</v>
      </c>
      <c r="G22" s="203">
        <v>6</v>
      </c>
      <c r="H22" s="144">
        <f t="shared" si="0"/>
        <v>42</v>
      </c>
      <c r="I22" s="148">
        <v>428</v>
      </c>
      <c r="J22" s="144">
        <v>2</v>
      </c>
      <c r="K22" s="207">
        <f t="shared" si="1"/>
        <v>472</v>
      </c>
      <c r="L22" s="204">
        <f t="shared" si="2"/>
        <v>7</v>
      </c>
      <c r="M22" s="207">
        <f t="shared" si="3"/>
        <v>42</v>
      </c>
      <c r="N22" s="204">
        <f t="shared" si="4"/>
        <v>428</v>
      </c>
      <c r="O22" s="204">
        <f t="shared" si="5"/>
        <v>2</v>
      </c>
      <c r="P22" s="204">
        <f t="shared" si="6"/>
        <v>472</v>
      </c>
    </row>
    <row r="23" spans="1:16">
      <c r="A23" s="129" t="s">
        <v>592</v>
      </c>
      <c r="B23" s="129"/>
      <c r="C23" s="2" t="s">
        <v>553</v>
      </c>
      <c r="D23" s="6" t="s">
        <v>22</v>
      </c>
      <c r="E23" s="133">
        <v>1</v>
      </c>
      <c r="F23" s="275">
        <v>10</v>
      </c>
      <c r="G23" s="203">
        <v>6</v>
      </c>
      <c r="H23" s="144">
        <f t="shared" si="0"/>
        <v>60</v>
      </c>
      <c r="I23" s="148">
        <v>651</v>
      </c>
      <c r="J23" s="144">
        <v>5</v>
      </c>
      <c r="K23" s="207">
        <f t="shared" si="1"/>
        <v>716</v>
      </c>
      <c r="L23" s="204">
        <f t="shared" si="2"/>
        <v>10</v>
      </c>
      <c r="M23" s="207">
        <f t="shared" si="3"/>
        <v>60</v>
      </c>
      <c r="N23" s="204">
        <f t="shared" si="4"/>
        <v>651</v>
      </c>
      <c r="O23" s="204">
        <f t="shared" si="5"/>
        <v>5</v>
      </c>
      <c r="P23" s="204">
        <f t="shared" si="6"/>
        <v>716</v>
      </c>
    </row>
    <row r="24" spans="1:16" ht="25.5">
      <c r="A24" s="129" t="s">
        <v>593</v>
      </c>
      <c r="B24" s="129"/>
      <c r="C24" s="2" t="s">
        <v>554</v>
      </c>
      <c r="D24" s="6" t="s">
        <v>22</v>
      </c>
      <c r="E24" s="133">
        <v>1</v>
      </c>
      <c r="F24" s="275">
        <v>10</v>
      </c>
      <c r="G24" s="203">
        <v>6</v>
      </c>
      <c r="H24" s="204">
        <f t="shared" si="0"/>
        <v>60</v>
      </c>
      <c r="I24" s="205">
        <v>367</v>
      </c>
      <c r="J24" s="144">
        <v>5</v>
      </c>
      <c r="K24" s="207">
        <f t="shared" si="1"/>
        <v>432</v>
      </c>
      <c r="L24" s="204">
        <f t="shared" si="2"/>
        <v>10</v>
      </c>
      <c r="M24" s="207">
        <f t="shared" si="3"/>
        <v>60</v>
      </c>
      <c r="N24" s="204">
        <f t="shared" si="4"/>
        <v>367</v>
      </c>
      <c r="O24" s="204">
        <f t="shared" si="5"/>
        <v>5</v>
      </c>
      <c r="P24" s="204">
        <f t="shared" si="6"/>
        <v>432</v>
      </c>
    </row>
    <row r="25" spans="1:16">
      <c r="A25" s="129" t="s">
        <v>594</v>
      </c>
      <c r="B25" s="129"/>
      <c r="C25" s="2" t="s">
        <v>555</v>
      </c>
      <c r="D25" s="6" t="s">
        <v>22</v>
      </c>
      <c r="E25" s="133">
        <v>1</v>
      </c>
      <c r="F25" s="275">
        <v>10</v>
      </c>
      <c r="G25" s="203">
        <v>6</v>
      </c>
      <c r="H25" s="204">
        <f t="shared" si="0"/>
        <v>60</v>
      </c>
      <c r="I25" s="205">
        <v>301</v>
      </c>
      <c r="J25" s="144">
        <v>5</v>
      </c>
      <c r="K25" s="207">
        <f t="shared" si="1"/>
        <v>366</v>
      </c>
      <c r="L25" s="204">
        <f t="shared" si="2"/>
        <v>10</v>
      </c>
      <c r="M25" s="207">
        <f t="shared" si="3"/>
        <v>60</v>
      </c>
      <c r="N25" s="204">
        <f t="shared" si="4"/>
        <v>301</v>
      </c>
      <c r="O25" s="204">
        <f t="shared" si="5"/>
        <v>5</v>
      </c>
      <c r="P25" s="204">
        <f t="shared" si="6"/>
        <v>366</v>
      </c>
    </row>
    <row r="26" spans="1:16" ht="25.5">
      <c r="A26" s="129" t="s">
        <v>595</v>
      </c>
      <c r="B26" s="129"/>
      <c r="C26" s="2" t="s">
        <v>633</v>
      </c>
      <c r="D26" s="6" t="s">
        <v>22</v>
      </c>
      <c r="E26" s="133">
        <v>1</v>
      </c>
      <c r="F26" s="202">
        <v>10</v>
      </c>
      <c r="G26" s="203">
        <v>6</v>
      </c>
      <c r="H26" s="204">
        <f t="shared" si="0"/>
        <v>60</v>
      </c>
      <c r="I26" s="205">
        <v>141</v>
      </c>
      <c r="J26" s="206">
        <v>5</v>
      </c>
      <c r="K26" s="207">
        <f t="shared" si="1"/>
        <v>206</v>
      </c>
      <c r="L26" s="204">
        <f t="shared" si="2"/>
        <v>10</v>
      </c>
      <c r="M26" s="207">
        <f t="shared" si="3"/>
        <v>60</v>
      </c>
      <c r="N26" s="204">
        <f t="shared" si="4"/>
        <v>141</v>
      </c>
      <c r="O26" s="204">
        <f t="shared" si="5"/>
        <v>5</v>
      </c>
      <c r="P26" s="204">
        <f t="shared" si="6"/>
        <v>206</v>
      </c>
    </row>
    <row r="27" spans="1:16">
      <c r="A27" s="129" t="s">
        <v>596</v>
      </c>
      <c r="B27" s="129"/>
      <c r="C27" s="2" t="s">
        <v>939</v>
      </c>
      <c r="D27" s="6" t="s">
        <v>22</v>
      </c>
      <c r="E27" s="133">
        <v>1</v>
      </c>
      <c r="F27" s="202">
        <v>8</v>
      </c>
      <c r="G27" s="203">
        <v>6</v>
      </c>
      <c r="H27" s="204">
        <f t="shared" si="0"/>
        <v>48</v>
      </c>
      <c r="I27" s="205">
        <v>127</v>
      </c>
      <c r="J27" s="206">
        <v>5</v>
      </c>
      <c r="K27" s="207">
        <f t="shared" si="1"/>
        <v>180</v>
      </c>
      <c r="L27" s="204">
        <f t="shared" si="2"/>
        <v>8</v>
      </c>
      <c r="M27" s="207">
        <f t="shared" si="3"/>
        <v>48</v>
      </c>
      <c r="N27" s="204">
        <f t="shared" si="4"/>
        <v>127</v>
      </c>
      <c r="O27" s="204">
        <f t="shared" si="5"/>
        <v>5</v>
      </c>
      <c r="P27" s="204">
        <f t="shared" si="6"/>
        <v>180</v>
      </c>
    </row>
    <row r="28" spans="1:16">
      <c r="A28" s="129" t="s">
        <v>597</v>
      </c>
      <c r="B28" s="129"/>
      <c r="C28" s="2" t="s">
        <v>940</v>
      </c>
      <c r="D28" s="6" t="s">
        <v>22</v>
      </c>
      <c r="E28" s="133">
        <v>1</v>
      </c>
      <c r="F28" s="202">
        <v>4</v>
      </c>
      <c r="G28" s="203">
        <v>6</v>
      </c>
      <c r="H28" s="204">
        <f t="shared" si="0"/>
        <v>24</v>
      </c>
      <c r="I28" s="205">
        <v>23</v>
      </c>
      <c r="J28" s="206">
        <v>3</v>
      </c>
      <c r="K28" s="207">
        <f t="shared" si="1"/>
        <v>50</v>
      </c>
      <c r="L28" s="204">
        <f t="shared" si="2"/>
        <v>4</v>
      </c>
      <c r="M28" s="207">
        <f t="shared" si="3"/>
        <v>24</v>
      </c>
      <c r="N28" s="204">
        <f t="shared" si="4"/>
        <v>23</v>
      </c>
      <c r="O28" s="204">
        <f t="shared" si="5"/>
        <v>3</v>
      </c>
      <c r="P28" s="204">
        <f t="shared" si="6"/>
        <v>50</v>
      </c>
    </row>
    <row r="29" spans="1:16">
      <c r="A29" s="129" t="s">
        <v>598</v>
      </c>
      <c r="B29" s="129"/>
      <c r="C29" s="2" t="s">
        <v>556</v>
      </c>
      <c r="D29" s="6" t="s">
        <v>22</v>
      </c>
      <c r="E29" s="133">
        <v>1</v>
      </c>
      <c r="F29" s="202">
        <v>8</v>
      </c>
      <c r="G29" s="203">
        <v>6</v>
      </c>
      <c r="H29" s="204">
        <f t="shared" si="0"/>
        <v>48</v>
      </c>
      <c r="I29" s="205">
        <v>670</v>
      </c>
      <c r="J29" s="206">
        <v>1</v>
      </c>
      <c r="K29" s="207">
        <f t="shared" si="1"/>
        <v>719</v>
      </c>
      <c r="L29" s="204">
        <f t="shared" si="2"/>
        <v>8</v>
      </c>
      <c r="M29" s="207">
        <f t="shared" si="3"/>
        <v>48</v>
      </c>
      <c r="N29" s="204">
        <f t="shared" si="4"/>
        <v>670</v>
      </c>
      <c r="O29" s="204">
        <f t="shared" si="5"/>
        <v>1</v>
      </c>
      <c r="P29" s="204">
        <f t="shared" si="6"/>
        <v>719</v>
      </c>
    </row>
    <row r="30" spans="1:16">
      <c r="A30" s="129" t="s">
        <v>599</v>
      </c>
      <c r="B30" s="129"/>
      <c r="C30" s="2" t="s">
        <v>557</v>
      </c>
      <c r="D30" s="6" t="s">
        <v>34</v>
      </c>
      <c r="E30" s="133">
        <v>1</v>
      </c>
      <c r="F30" s="202">
        <v>6</v>
      </c>
      <c r="G30" s="203">
        <v>6</v>
      </c>
      <c r="H30" s="204">
        <f t="shared" si="0"/>
        <v>36</v>
      </c>
      <c r="I30" s="205">
        <v>209</v>
      </c>
      <c r="J30" s="206">
        <v>3</v>
      </c>
      <c r="K30" s="207">
        <f t="shared" si="1"/>
        <v>248</v>
      </c>
      <c r="L30" s="204">
        <f t="shared" si="2"/>
        <v>6</v>
      </c>
      <c r="M30" s="207">
        <f t="shared" si="3"/>
        <v>36</v>
      </c>
      <c r="N30" s="204">
        <f t="shared" si="4"/>
        <v>209</v>
      </c>
      <c r="O30" s="204">
        <f t="shared" si="5"/>
        <v>3</v>
      </c>
      <c r="P30" s="204">
        <f t="shared" si="6"/>
        <v>248</v>
      </c>
    </row>
    <row r="31" spans="1:16" ht="25.5">
      <c r="A31" s="129" t="s">
        <v>600</v>
      </c>
      <c r="B31" s="129"/>
      <c r="C31" s="2" t="s">
        <v>558</v>
      </c>
      <c r="D31" s="6" t="s">
        <v>34</v>
      </c>
      <c r="E31" s="133">
        <v>1</v>
      </c>
      <c r="F31" s="202">
        <v>6</v>
      </c>
      <c r="G31" s="203">
        <v>6</v>
      </c>
      <c r="H31" s="204">
        <f t="shared" si="0"/>
        <v>36</v>
      </c>
      <c r="I31" s="205">
        <v>209</v>
      </c>
      <c r="J31" s="206">
        <v>3</v>
      </c>
      <c r="K31" s="207">
        <f t="shared" si="1"/>
        <v>248</v>
      </c>
      <c r="L31" s="204">
        <f t="shared" si="2"/>
        <v>6</v>
      </c>
      <c r="M31" s="207">
        <f t="shared" si="3"/>
        <v>36</v>
      </c>
      <c r="N31" s="204">
        <f t="shared" si="4"/>
        <v>209</v>
      </c>
      <c r="O31" s="204">
        <f t="shared" si="5"/>
        <v>3</v>
      </c>
      <c r="P31" s="204">
        <f t="shared" si="6"/>
        <v>248</v>
      </c>
    </row>
    <row r="32" spans="1:16">
      <c r="A32" s="129" t="s">
        <v>601</v>
      </c>
      <c r="B32" s="129"/>
      <c r="C32" s="2" t="s">
        <v>559</v>
      </c>
      <c r="D32" s="6" t="s">
        <v>22</v>
      </c>
      <c r="E32" s="133">
        <v>2</v>
      </c>
      <c r="F32" s="202">
        <v>6</v>
      </c>
      <c r="G32" s="203">
        <v>6</v>
      </c>
      <c r="H32" s="204">
        <f t="shared" si="0"/>
        <v>36</v>
      </c>
      <c r="I32" s="205">
        <v>176</v>
      </c>
      <c r="J32" s="206">
        <v>3</v>
      </c>
      <c r="K32" s="207">
        <f t="shared" si="1"/>
        <v>215</v>
      </c>
      <c r="L32" s="204">
        <f t="shared" si="2"/>
        <v>12</v>
      </c>
      <c r="M32" s="207">
        <f t="shared" si="3"/>
        <v>72</v>
      </c>
      <c r="N32" s="204">
        <f t="shared" si="4"/>
        <v>352</v>
      </c>
      <c r="O32" s="204">
        <f t="shared" si="5"/>
        <v>6</v>
      </c>
      <c r="P32" s="204">
        <f t="shared" si="6"/>
        <v>430</v>
      </c>
    </row>
    <row r="33" spans="1:16">
      <c r="A33" s="129" t="s">
        <v>602</v>
      </c>
      <c r="B33" s="129"/>
      <c r="C33" s="2" t="s">
        <v>560</v>
      </c>
      <c r="D33" s="6" t="s">
        <v>22</v>
      </c>
      <c r="E33" s="133">
        <v>1</v>
      </c>
      <c r="F33" s="202">
        <v>6</v>
      </c>
      <c r="G33" s="203">
        <v>6</v>
      </c>
      <c r="H33" s="204">
        <f t="shared" si="0"/>
        <v>36</v>
      </c>
      <c r="I33" s="205">
        <v>335</v>
      </c>
      <c r="J33" s="206">
        <v>3</v>
      </c>
      <c r="K33" s="207">
        <f t="shared" si="1"/>
        <v>374</v>
      </c>
      <c r="L33" s="204">
        <f t="shared" si="2"/>
        <v>6</v>
      </c>
      <c r="M33" s="207">
        <f t="shared" si="3"/>
        <v>36</v>
      </c>
      <c r="N33" s="204">
        <f t="shared" si="4"/>
        <v>335</v>
      </c>
      <c r="O33" s="204">
        <f t="shared" si="5"/>
        <v>3</v>
      </c>
      <c r="P33" s="204">
        <f t="shared" si="6"/>
        <v>374</v>
      </c>
    </row>
    <row r="34" spans="1:16">
      <c r="A34" s="129" t="s">
        <v>603</v>
      </c>
      <c r="B34" s="129"/>
      <c r="C34" s="2" t="s">
        <v>561</v>
      </c>
      <c r="D34" s="6" t="s">
        <v>22</v>
      </c>
      <c r="E34" s="133">
        <v>1</v>
      </c>
      <c r="F34" s="202">
        <v>4</v>
      </c>
      <c r="G34" s="203">
        <v>6</v>
      </c>
      <c r="H34" s="204">
        <f t="shared" si="0"/>
        <v>24</v>
      </c>
      <c r="I34" s="205">
        <v>32</v>
      </c>
      <c r="J34" s="206">
        <v>3</v>
      </c>
      <c r="K34" s="207">
        <f t="shared" si="1"/>
        <v>59</v>
      </c>
      <c r="L34" s="204">
        <f t="shared" si="2"/>
        <v>4</v>
      </c>
      <c r="M34" s="207">
        <f t="shared" si="3"/>
        <v>24</v>
      </c>
      <c r="N34" s="204">
        <f t="shared" si="4"/>
        <v>32</v>
      </c>
      <c r="O34" s="204">
        <f t="shared" si="5"/>
        <v>3</v>
      </c>
      <c r="P34" s="204">
        <f t="shared" si="6"/>
        <v>59</v>
      </c>
    </row>
    <row r="35" spans="1:16">
      <c r="A35" s="129" t="s">
        <v>604</v>
      </c>
      <c r="B35" s="129"/>
      <c r="C35" s="2" t="s">
        <v>562</v>
      </c>
      <c r="D35" s="6" t="s">
        <v>22</v>
      </c>
      <c r="E35" s="133">
        <v>1</v>
      </c>
      <c r="F35" s="202">
        <v>4</v>
      </c>
      <c r="G35" s="203">
        <v>6</v>
      </c>
      <c r="H35" s="204">
        <f t="shared" si="0"/>
        <v>24</v>
      </c>
      <c r="I35" s="205">
        <v>36</v>
      </c>
      <c r="J35" s="206">
        <v>3</v>
      </c>
      <c r="K35" s="207">
        <f t="shared" si="1"/>
        <v>63</v>
      </c>
      <c r="L35" s="204">
        <f t="shared" si="2"/>
        <v>4</v>
      </c>
      <c r="M35" s="207">
        <f t="shared" si="3"/>
        <v>24</v>
      </c>
      <c r="N35" s="204">
        <f t="shared" si="4"/>
        <v>36</v>
      </c>
      <c r="O35" s="204">
        <f t="shared" si="5"/>
        <v>3</v>
      </c>
      <c r="P35" s="204">
        <f t="shared" si="6"/>
        <v>63</v>
      </c>
    </row>
    <row r="36" spans="1:16">
      <c r="A36" s="129" t="s">
        <v>605</v>
      </c>
      <c r="B36" s="129"/>
      <c r="C36" s="2" t="s">
        <v>563</v>
      </c>
      <c r="D36" s="6" t="s">
        <v>22</v>
      </c>
      <c r="E36" s="133">
        <v>3</v>
      </c>
      <c r="F36" s="202">
        <v>4</v>
      </c>
      <c r="G36" s="203">
        <v>6</v>
      </c>
      <c r="H36" s="204">
        <f t="shared" si="0"/>
        <v>24</v>
      </c>
      <c r="I36" s="205">
        <v>63</v>
      </c>
      <c r="J36" s="206">
        <v>3</v>
      </c>
      <c r="K36" s="207">
        <f t="shared" si="1"/>
        <v>90</v>
      </c>
      <c r="L36" s="204">
        <f t="shared" si="2"/>
        <v>12</v>
      </c>
      <c r="M36" s="207">
        <f t="shared" si="3"/>
        <v>72</v>
      </c>
      <c r="N36" s="204">
        <f t="shared" si="4"/>
        <v>189</v>
      </c>
      <c r="O36" s="204">
        <f t="shared" si="5"/>
        <v>9</v>
      </c>
      <c r="P36" s="204">
        <f t="shared" si="6"/>
        <v>270</v>
      </c>
    </row>
    <row r="37" spans="1:16">
      <c r="A37" s="129" t="s">
        <v>606</v>
      </c>
      <c r="B37" s="129"/>
      <c r="C37" s="2" t="s">
        <v>564</v>
      </c>
      <c r="D37" s="6" t="s">
        <v>34</v>
      </c>
      <c r="E37" s="133">
        <v>1</v>
      </c>
      <c r="F37" s="202">
        <v>1</v>
      </c>
      <c r="G37" s="203">
        <v>6</v>
      </c>
      <c r="H37" s="204">
        <f t="shared" si="0"/>
        <v>6</v>
      </c>
      <c r="I37" s="205">
        <v>24.7</v>
      </c>
      <c r="J37" s="206">
        <v>0.3</v>
      </c>
      <c r="K37" s="207">
        <f t="shared" si="1"/>
        <v>31</v>
      </c>
      <c r="L37" s="204">
        <f t="shared" si="2"/>
        <v>1</v>
      </c>
      <c r="M37" s="207">
        <f t="shared" si="3"/>
        <v>6</v>
      </c>
      <c r="N37" s="204">
        <f t="shared" si="4"/>
        <v>24.7</v>
      </c>
      <c r="O37" s="204">
        <f t="shared" si="5"/>
        <v>0.3</v>
      </c>
      <c r="P37" s="204">
        <f t="shared" si="6"/>
        <v>31</v>
      </c>
    </row>
    <row r="38" spans="1:16">
      <c r="A38" s="129" t="s">
        <v>607</v>
      </c>
      <c r="B38" s="129"/>
      <c r="C38" s="2" t="s">
        <v>565</v>
      </c>
      <c r="D38" s="6" t="s">
        <v>22</v>
      </c>
      <c r="E38" s="133">
        <v>2</v>
      </c>
      <c r="F38" s="275">
        <v>1</v>
      </c>
      <c r="G38" s="203">
        <v>6</v>
      </c>
      <c r="H38" s="204">
        <f t="shared" si="0"/>
        <v>6</v>
      </c>
      <c r="I38" s="205">
        <v>37.5</v>
      </c>
      <c r="J38" s="206">
        <v>0.2</v>
      </c>
      <c r="K38" s="207">
        <f t="shared" si="1"/>
        <v>43.7</v>
      </c>
      <c r="L38" s="204">
        <f t="shared" si="2"/>
        <v>2</v>
      </c>
      <c r="M38" s="207">
        <f t="shared" si="3"/>
        <v>12</v>
      </c>
      <c r="N38" s="204">
        <f t="shared" si="4"/>
        <v>75</v>
      </c>
      <c r="O38" s="204">
        <f t="shared" si="5"/>
        <v>0.4</v>
      </c>
      <c r="P38" s="204">
        <f t="shared" si="6"/>
        <v>87.4</v>
      </c>
    </row>
    <row r="39" spans="1:16">
      <c r="A39" s="129" t="s">
        <v>608</v>
      </c>
      <c r="B39" s="129"/>
      <c r="C39" s="2" t="s">
        <v>566</v>
      </c>
      <c r="D39" s="6" t="s">
        <v>22</v>
      </c>
      <c r="E39" s="133">
        <v>4</v>
      </c>
      <c r="F39" s="275">
        <v>1</v>
      </c>
      <c r="G39" s="203">
        <v>6</v>
      </c>
      <c r="H39" s="204">
        <f t="shared" si="0"/>
        <v>6</v>
      </c>
      <c r="I39" s="205">
        <v>17.55</v>
      </c>
      <c r="J39" s="206">
        <v>0.2</v>
      </c>
      <c r="K39" s="207">
        <f t="shared" si="1"/>
        <v>23.75</v>
      </c>
      <c r="L39" s="204">
        <f t="shared" si="2"/>
        <v>4</v>
      </c>
      <c r="M39" s="207">
        <f t="shared" si="3"/>
        <v>24</v>
      </c>
      <c r="N39" s="204">
        <f t="shared" si="4"/>
        <v>70.2</v>
      </c>
      <c r="O39" s="204">
        <f t="shared" si="5"/>
        <v>0.8</v>
      </c>
      <c r="P39" s="204">
        <f t="shared" si="6"/>
        <v>95</v>
      </c>
    </row>
    <row r="40" spans="1:16">
      <c r="A40" s="129" t="s">
        <v>609</v>
      </c>
      <c r="B40" s="129"/>
      <c r="C40" s="2" t="s">
        <v>567</v>
      </c>
      <c r="D40" s="6" t="s">
        <v>22</v>
      </c>
      <c r="E40" s="133">
        <v>4</v>
      </c>
      <c r="F40" s="275">
        <v>1</v>
      </c>
      <c r="G40" s="203">
        <v>6</v>
      </c>
      <c r="H40" s="144">
        <f t="shared" si="0"/>
        <v>6</v>
      </c>
      <c r="I40" s="148">
        <v>10</v>
      </c>
      <c r="J40" s="206">
        <v>0.2</v>
      </c>
      <c r="K40" s="207">
        <f t="shared" si="1"/>
        <v>16.2</v>
      </c>
      <c r="L40" s="204">
        <f t="shared" si="2"/>
        <v>4</v>
      </c>
      <c r="M40" s="207">
        <f t="shared" si="3"/>
        <v>24</v>
      </c>
      <c r="N40" s="204">
        <f t="shared" si="4"/>
        <v>40</v>
      </c>
      <c r="O40" s="204">
        <f t="shared" si="5"/>
        <v>0.8</v>
      </c>
      <c r="P40" s="204">
        <f t="shared" si="6"/>
        <v>64.8</v>
      </c>
    </row>
    <row r="41" spans="1:16">
      <c r="A41" s="129" t="s">
        <v>610</v>
      </c>
      <c r="B41" s="129"/>
      <c r="C41" s="2" t="s">
        <v>568</v>
      </c>
      <c r="D41" s="6" t="s">
        <v>22</v>
      </c>
      <c r="E41" s="133">
        <v>12</v>
      </c>
      <c r="F41" s="275">
        <v>1</v>
      </c>
      <c r="G41" s="203">
        <v>6</v>
      </c>
      <c r="H41" s="144">
        <f t="shared" si="0"/>
        <v>6</v>
      </c>
      <c r="I41" s="148">
        <v>4.3</v>
      </c>
      <c r="J41" s="206">
        <v>0.2</v>
      </c>
      <c r="K41" s="207">
        <f t="shared" si="1"/>
        <v>10.5</v>
      </c>
      <c r="L41" s="204">
        <f t="shared" si="2"/>
        <v>12</v>
      </c>
      <c r="M41" s="207">
        <f t="shared" si="3"/>
        <v>72</v>
      </c>
      <c r="N41" s="204">
        <f t="shared" si="4"/>
        <v>51.6</v>
      </c>
      <c r="O41" s="204">
        <f t="shared" si="5"/>
        <v>2.4</v>
      </c>
      <c r="P41" s="204">
        <f t="shared" si="6"/>
        <v>126</v>
      </c>
    </row>
    <row r="42" spans="1:16">
      <c r="A42" s="129" t="s">
        <v>611</v>
      </c>
      <c r="B42" s="129"/>
      <c r="C42" s="2" t="s">
        <v>569</v>
      </c>
      <c r="D42" s="6" t="s">
        <v>22</v>
      </c>
      <c r="E42" s="133">
        <v>9</v>
      </c>
      <c r="F42" s="275">
        <v>1</v>
      </c>
      <c r="G42" s="203">
        <v>6</v>
      </c>
      <c r="H42" s="144">
        <f t="shared" si="0"/>
        <v>6</v>
      </c>
      <c r="I42" s="148">
        <v>4.1100000000000003</v>
      </c>
      <c r="J42" s="206">
        <v>0.2</v>
      </c>
      <c r="K42" s="207">
        <f t="shared" si="1"/>
        <v>10.31</v>
      </c>
      <c r="L42" s="204">
        <f t="shared" si="2"/>
        <v>9</v>
      </c>
      <c r="M42" s="207">
        <f t="shared" si="3"/>
        <v>54</v>
      </c>
      <c r="N42" s="204">
        <f t="shared" si="4"/>
        <v>36.99</v>
      </c>
      <c r="O42" s="204">
        <f t="shared" si="5"/>
        <v>1.8</v>
      </c>
      <c r="P42" s="204">
        <f t="shared" si="6"/>
        <v>92.79</v>
      </c>
    </row>
    <row r="43" spans="1:16">
      <c r="A43" s="129" t="s">
        <v>612</v>
      </c>
      <c r="B43" s="129"/>
      <c r="C43" s="2" t="s">
        <v>570</v>
      </c>
      <c r="D43" s="6" t="s">
        <v>22</v>
      </c>
      <c r="E43" s="133">
        <v>4</v>
      </c>
      <c r="F43" s="275">
        <v>1</v>
      </c>
      <c r="G43" s="203">
        <v>6</v>
      </c>
      <c r="H43" s="204">
        <f t="shared" si="0"/>
        <v>6</v>
      </c>
      <c r="I43" s="148">
        <v>4.1100000000000003</v>
      </c>
      <c r="J43" s="206">
        <v>0.2</v>
      </c>
      <c r="K43" s="207">
        <f t="shared" si="1"/>
        <v>10.31</v>
      </c>
      <c r="L43" s="204">
        <f t="shared" si="2"/>
        <v>4</v>
      </c>
      <c r="M43" s="207">
        <f t="shared" si="3"/>
        <v>24</v>
      </c>
      <c r="N43" s="204">
        <f t="shared" si="4"/>
        <v>16.440000000000001</v>
      </c>
      <c r="O43" s="204">
        <f t="shared" si="5"/>
        <v>0.8</v>
      </c>
      <c r="P43" s="204">
        <f t="shared" si="6"/>
        <v>41.24</v>
      </c>
    </row>
    <row r="44" spans="1:16">
      <c r="A44" s="129" t="s">
        <v>613</v>
      </c>
      <c r="B44" s="129"/>
      <c r="C44" s="2" t="s">
        <v>571</v>
      </c>
      <c r="D44" s="6" t="s">
        <v>22</v>
      </c>
      <c r="E44" s="133">
        <v>1</v>
      </c>
      <c r="F44" s="275">
        <v>1</v>
      </c>
      <c r="G44" s="203">
        <v>6</v>
      </c>
      <c r="H44" s="204">
        <f t="shared" si="0"/>
        <v>6</v>
      </c>
      <c r="I44" s="205">
        <v>65.55</v>
      </c>
      <c r="J44" s="206">
        <v>0.2</v>
      </c>
      <c r="K44" s="207">
        <f t="shared" si="1"/>
        <v>71.75</v>
      </c>
      <c r="L44" s="204">
        <f t="shared" si="2"/>
        <v>1</v>
      </c>
      <c r="M44" s="207">
        <f t="shared" si="3"/>
        <v>6</v>
      </c>
      <c r="N44" s="204">
        <f t="shared" si="4"/>
        <v>65.55</v>
      </c>
      <c r="O44" s="204">
        <f t="shared" si="5"/>
        <v>0.2</v>
      </c>
      <c r="P44" s="204">
        <f t="shared" si="6"/>
        <v>71.75</v>
      </c>
    </row>
    <row r="45" spans="1:16">
      <c r="A45" s="129" t="s">
        <v>614</v>
      </c>
      <c r="B45" s="129"/>
      <c r="C45" s="2" t="s">
        <v>572</v>
      </c>
      <c r="D45" s="6" t="s">
        <v>22</v>
      </c>
      <c r="E45" s="133">
        <v>1</v>
      </c>
      <c r="F45" s="275">
        <v>1</v>
      </c>
      <c r="G45" s="203">
        <v>6</v>
      </c>
      <c r="H45" s="204">
        <f t="shared" si="0"/>
        <v>6</v>
      </c>
      <c r="I45" s="205">
        <v>38.31</v>
      </c>
      <c r="J45" s="206">
        <v>0.2</v>
      </c>
      <c r="K45" s="207">
        <f t="shared" si="1"/>
        <v>44.51</v>
      </c>
      <c r="L45" s="204">
        <f t="shared" si="2"/>
        <v>1</v>
      </c>
      <c r="M45" s="207">
        <f t="shared" si="3"/>
        <v>6</v>
      </c>
      <c r="N45" s="204">
        <f t="shared" si="4"/>
        <v>38.31</v>
      </c>
      <c r="O45" s="204">
        <f t="shared" si="5"/>
        <v>0.2</v>
      </c>
      <c r="P45" s="204">
        <f t="shared" si="6"/>
        <v>44.51</v>
      </c>
    </row>
    <row r="46" spans="1:16">
      <c r="A46" s="129" t="s">
        <v>615</v>
      </c>
      <c r="B46" s="129"/>
      <c r="C46" s="2" t="s">
        <v>573</v>
      </c>
      <c r="D46" s="6" t="s">
        <v>22</v>
      </c>
      <c r="E46" s="133">
        <v>1</v>
      </c>
      <c r="F46" s="275">
        <v>1</v>
      </c>
      <c r="G46" s="203">
        <v>6</v>
      </c>
      <c r="H46" s="204">
        <f t="shared" si="0"/>
        <v>6</v>
      </c>
      <c r="I46" s="148">
        <v>29.79</v>
      </c>
      <c r="J46" s="206">
        <v>0.2</v>
      </c>
      <c r="K46" s="207">
        <f t="shared" si="1"/>
        <v>35.99</v>
      </c>
      <c r="L46" s="204">
        <f t="shared" si="2"/>
        <v>1</v>
      </c>
      <c r="M46" s="207">
        <f t="shared" si="3"/>
        <v>6</v>
      </c>
      <c r="N46" s="204">
        <f t="shared" si="4"/>
        <v>29.79</v>
      </c>
      <c r="O46" s="204">
        <f t="shared" si="5"/>
        <v>0.2</v>
      </c>
      <c r="P46" s="204">
        <f t="shared" si="6"/>
        <v>35.99</v>
      </c>
    </row>
    <row r="47" spans="1:16">
      <c r="A47" s="129" t="s">
        <v>616</v>
      </c>
      <c r="B47" s="129"/>
      <c r="C47" s="2" t="s">
        <v>574</v>
      </c>
      <c r="D47" s="6" t="s">
        <v>22</v>
      </c>
      <c r="E47" s="133">
        <v>3</v>
      </c>
      <c r="F47" s="275">
        <v>1</v>
      </c>
      <c r="G47" s="203">
        <v>6</v>
      </c>
      <c r="H47" s="204">
        <f t="shared" si="0"/>
        <v>6</v>
      </c>
      <c r="I47" s="205">
        <v>22.99</v>
      </c>
      <c r="J47" s="206">
        <v>0.2</v>
      </c>
      <c r="K47" s="207">
        <f t="shared" si="1"/>
        <v>29.19</v>
      </c>
      <c r="L47" s="204">
        <f t="shared" si="2"/>
        <v>3</v>
      </c>
      <c r="M47" s="207">
        <f t="shared" si="3"/>
        <v>18</v>
      </c>
      <c r="N47" s="204">
        <f t="shared" si="4"/>
        <v>68.97</v>
      </c>
      <c r="O47" s="204">
        <f t="shared" si="5"/>
        <v>0.6</v>
      </c>
      <c r="P47" s="204">
        <f t="shared" si="6"/>
        <v>87.57</v>
      </c>
    </row>
    <row r="48" spans="1:16">
      <c r="A48" s="129" t="s">
        <v>617</v>
      </c>
      <c r="B48" s="129"/>
      <c r="C48" s="2" t="s">
        <v>575</v>
      </c>
      <c r="D48" s="6" t="s">
        <v>22</v>
      </c>
      <c r="E48" s="133">
        <v>1</v>
      </c>
      <c r="F48" s="275">
        <v>1</v>
      </c>
      <c r="G48" s="203">
        <v>6</v>
      </c>
      <c r="H48" s="204">
        <f t="shared" si="0"/>
        <v>6</v>
      </c>
      <c r="I48" s="205">
        <v>16</v>
      </c>
      <c r="J48" s="206">
        <v>0.2</v>
      </c>
      <c r="K48" s="207">
        <f t="shared" si="1"/>
        <v>22.2</v>
      </c>
      <c r="L48" s="204">
        <f t="shared" si="2"/>
        <v>1</v>
      </c>
      <c r="M48" s="207">
        <f t="shared" si="3"/>
        <v>6</v>
      </c>
      <c r="N48" s="204">
        <f t="shared" si="4"/>
        <v>16</v>
      </c>
      <c r="O48" s="204">
        <f t="shared" si="5"/>
        <v>0.2</v>
      </c>
      <c r="P48" s="204">
        <f t="shared" si="6"/>
        <v>22.2</v>
      </c>
    </row>
    <row r="49" spans="1:16">
      <c r="A49" s="129" t="s">
        <v>618</v>
      </c>
      <c r="B49" s="129"/>
      <c r="C49" s="2" t="s">
        <v>576</v>
      </c>
      <c r="D49" s="6" t="s">
        <v>22</v>
      </c>
      <c r="E49" s="133">
        <v>1</v>
      </c>
      <c r="F49" s="275">
        <v>1</v>
      </c>
      <c r="G49" s="203">
        <v>6</v>
      </c>
      <c r="H49" s="204">
        <f t="shared" si="0"/>
        <v>6</v>
      </c>
      <c r="I49" s="205">
        <v>11.45</v>
      </c>
      <c r="J49" s="206">
        <v>0.2</v>
      </c>
      <c r="K49" s="207">
        <f t="shared" si="1"/>
        <v>17.649999999999999</v>
      </c>
      <c r="L49" s="204">
        <f t="shared" si="2"/>
        <v>1</v>
      </c>
      <c r="M49" s="207">
        <f t="shared" si="3"/>
        <v>6</v>
      </c>
      <c r="N49" s="204">
        <f t="shared" si="4"/>
        <v>11.45</v>
      </c>
      <c r="O49" s="204">
        <f t="shared" si="5"/>
        <v>0.2</v>
      </c>
      <c r="P49" s="204">
        <f t="shared" si="6"/>
        <v>17.649999999999999</v>
      </c>
    </row>
    <row r="50" spans="1:16">
      <c r="A50" s="129" t="s">
        <v>619</v>
      </c>
      <c r="B50" s="129"/>
      <c r="C50" s="2" t="s">
        <v>577</v>
      </c>
      <c r="D50" s="6" t="s">
        <v>22</v>
      </c>
      <c r="E50" s="133">
        <v>4</v>
      </c>
      <c r="F50" s="275">
        <v>1</v>
      </c>
      <c r="G50" s="203">
        <v>6</v>
      </c>
      <c r="H50" s="204">
        <f t="shared" si="0"/>
        <v>6</v>
      </c>
      <c r="I50" s="205">
        <v>5.53</v>
      </c>
      <c r="J50" s="206">
        <v>0.2</v>
      </c>
      <c r="K50" s="207">
        <f t="shared" si="1"/>
        <v>11.73</v>
      </c>
      <c r="L50" s="204">
        <f t="shared" si="2"/>
        <v>4</v>
      </c>
      <c r="M50" s="207">
        <f t="shared" si="3"/>
        <v>24</v>
      </c>
      <c r="N50" s="204">
        <f t="shared" si="4"/>
        <v>22.12</v>
      </c>
      <c r="O50" s="204">
        <f t="shared" si="5"/>
        <v>0.8</v>
      </c>
      <c r="P50" s="204">
        <f t="shared" si="6"/>
        <v>46.92</v>
      </c>
    </row>
    <row r="51" spans="1:16">
      <c r="A51" s="129" t="s">
        <v>620</v>
      </c>
      <c r="B51" s="129"/>
      <c r="C51" s="2" t="s">
        <v>578</v>
      </c>
      <c r="D51" s="6" t="s">
        <v>22</v>
      </c>
      <c r="E51" s="133">
        <v>2</v>
      </c>
      <c r="F51" s="275">
        <v>1</v>
      </c>
      <c r="G51" s="203">
        <v>6</v>
      </c>
      <c r="H51" s="204">
        <f t="shared" si="0"/>
        <v>6</v>
      </c>
      <c r="I51" s="205">
        <v>35</v>
      </c>
      <c r="J51" s="206">
        <v>0.2</v>
      </c>
      <c r="K51" s="207">
        <f t="shared" si="1"/>
        <v>41.2</v>
      </c>
      <c r="L51" s="204">
        <f t="shared" si="2"/>
        <v>2</v>
      </c>
      <c r="M51" s="207">
        <f t="shared" si="3"/>
        <v>12</v>
      </c>
      <c r="N51" s="204">
        <f t="shared" si="4"/>
        <v>70</v>
      </c>
      <c r="O51" s="204">
        <f t="shared" si="5"/>
        <v>0.4</v>
      </c>
      <c r="P51" s="204">
        <f t="shared" si="6"/>
        <v>82.4</v>
      </c>
    </row>
    <row r="52" spans="1:16">
      <c r="A52" s="129" t="s">
        <v>621</v>
      </c>
      <c r="B52" s="129"/>
      <c r="C52" s="2" t="s">
        <v>579</v>
      </c>
      <c r="D52" s="6" t="s">
        <v>22</v>
      </c>
      <c r="E52" s="133">
        <v>1</v>
      </c>
      <c r="F52" s="275">
        <v>1</v>
      </c>
      <c r="G52" s="203">
        <v>6</v>
      </c>
      <c r="H52" s="204">
        <f t="shared" si="0"/>
        <v>6</v>
      </c>
      <c r="I52" s="205">
        <v>15.7</v>
      </c>
      <c r="J52" s="206">
        <v>0.2</v>
      </c>
      <c r="K52" s="207">
        <f t="shared" si="1"/>
        <v>21.9</v>
      </c>
      <c r="L52" s="204">
        <f t="shared" si="2"/>
        <v>1</v>
      </c>
      <c r="M52" s="207">
        <f t="shared" si="3"/>
        <v>6</v>
      </c>
      <c r="N52" s="204">
        <f t="shared" si="4"/>
        <v>15.7</v>
      </c>
      <c r="O52" s="204">
        <f t="shared" si="5"/>
        <v>0.2</v>
      </c>
      <c r="P52" s="204">
        <f t="shared" si="6"/>
        <v>21.9</v>
      </c>
    </row>
    <row r="53" spans="1:16">
      <c r="A53" s="129" t="s">
        <v>622</v>
      </c>
      <c r="B53" s="129"/>
      <c r="C53" s="23" t="s">
        <v>580</v>
      </c>
      <c r="D53" s="6" t="s">
        <v>22</v>
      </c>
      <c r="E53" s="133">
        <v>2</v>
      </c>
      <c r="F53" s="202">
        <v>4</v>
      </c>
      <c r="G53" s="203">
        <v>6</v>
      </c>
      <c r="H53" s="204">
        <f t="shared" si="0"/>
        <v>24</v>
      </c>
      <c r="I53" s="205">
        <v>102</v>
      </c>
      <c r="J53" s="206">
        <v>3</v>
      </c>
      <c r="K53" s="207">
        <f t="shared" si="1"/>
        <v>129</v>
      </c>
      <c r="L53" s="204">
        <f t="shared" si="2"/>
        <v>8</v>
      </c>
      <c r="M53" s="207">
        <f t="shared" si="3"/>
        <v>48</v>
      </c>
      <c r="N53" s="204">
        <f t="shared" si="4"/>
        <v>204</v>
      </c>
      <c r="O53" s="204">
        <f t="shared" si="5"/>
        <v>6</v>
      </c>
      <c r="P53" s="204">
        <f t="shared" si="6"/>
        <v>258</v>
      </c>
    </row>
    <row r="54" spans="1:16">
      <c r="A54" s="129" t="s">
        <v>623</v>
      </c>
      <c r="B54" s="129"/>
      <c r="C54" s="2" t="s">
        <v>581</v>
      </c>
      <c r="D54" s="6" t="s">
        <v>34</v>
      </c>
      <c r="E54" s="133">
        <v>2</v>
      </c>
      <c r="F54" s="275">
        <v>1</v>
      </c>
      <c r="G54" s="203">
        <v>6</v>
      </c>
      <c r="H54" s="144">
        <f t="shared" si="0"/>
        <v>6</v>
      </c>
      <c r="I54" s="148">
        <v>3.99</v>
      </c>
      <c r="J54" s="144">
        <v>0.2</v>
      </c>
      <c r="K54" s="207">
        <f t="shared" si="1"/>
        <v>10.19</v>
      </c>
      <c r="L54" s="204">
        <f t="shared" si="2"/>
        <v>2</v>
      </c>
      <c r="M54" s="207">
        <f t="shared" si="3"/>
        <v>12</v>
      </c>
      <c r="N54" s="204">
        <f t="shared" si="4"/>
        <v>7.98</v>
      </c>
      <c r="O54" s="204">
        <f t="shared" si="5"/>
        <v>0.4</v>
      </c>
      <c r="P54" s="204">
        <f t="shared" si="6"/>
        <v>20.38</v>
      </c>
    </row>
    <row r="55" spans="1:16">
      <c r="A55" s="129" t="s">
        <v>624</v>
      </c>
      <c r="B55" s="129"/>
      <c r="C55" s="2" t="s">
        <v>582</v>
      </c>
      <c r="D55" s="6" t="s">
        <v>34</v>
      </c>
      <c r="E55" s="133">
        <v>8</v>
      </c>
      <c r="F55" s="275">
        <v>1</v>
      </c>
      <c r="G55" s="203">
        <v>6</v>
      </c>
      <c r="H55" s="144">
        <f t="shared" si="0"/>
        <v>6</v>
      </c>
      <c r="I55" s="148">
        <v>2.86</v>
      </c>
      <c r="J55" s="144">
        <v>0.2</v>
      </c>
      <c r="K55" s="207">
        <f t="shared" si="1"/>
        <v>9.06</v>
      </c>
      <c r="L55" s="204">
        <f t="shared" si="2"/>
        <v>8</v>
      </c>
      <c r="M55" s="207">
        <f t="shared" si="3"/>
        <v>48</v>
      </c>
      <c r="N55" s="204">
        <f t="shared" si="4"/>
        <v>22.88</v>
      </c>
      <c r="O55" s="204">
        <f t="shared" si="5"/>
        <v>1.6</v>
      </c>
      <c r="P55" s="204">
        <f t="shared" si="6"/>
        <v>72.48</v>
      </c>
    </row>
    <row r="56" spans="1:16" ht="14.25">
      <c r="A56" s="129" t="s">
        <v>625</v>
      </c>
      <c r="B56" s="129"/>
      <c r="C56" s="2" t="s">
        <v>583</v>
      </c>
      <c r="D56" s="6" t="s">
        <v>22</v>
      </c>
      <c r="E56" s="133">
        <v>2</v>
      </c>
      <c r="F56" s="202">
        <v>1</v>
      </c>
      <c r="G56" s="203">
        <v>6</v>
      </c>
      <c r="H56" s="204">
        <f t="shared" si="0"/>
        <v>6</v>
      </c>
      <c r="I56" s="205">
        <v>18</v>
      </c>
      <c r="J56" s="206">
        <v>0.2</v>
      </c>
      <c r="K56" s="207">
        <f t="shared" si="1"/>
        <v>24.2</v>
      </c>
      <c r="L56" s="204">
        <f t="shared" si="2"/>
        <v>2</v>
      </c>
      <c r="M56" s="207">
        <f t="shared" si="3"/>
        <v>12</v>
      </c>
      <c r="N56" s="204">
        <f t="shared" si="4"/>
        <v>36</v>
      </c>
      <c r="O56" s="204">
        <f t="shared" si="5"/>
        <v>0.4</v>
      </c>
      <c r="P56" s="204">
        <f t="shared" si="6"/>
        <v>48.4</v>
      </c>
    </row>
    <row r="57" spans="1:16" ht="14.25">
      <c r="A57" s="129" t="s">
        <v>626</v>
      </c>
      <c r="B57" s="129"/>
      <c r="C57" s="2" t="s">
        <v>584</v>
      </c>
      <c r="D57" s="6" t="s">
        <v>22</v>
      </c>
      <c r="E57" s="133">
        <v>6</v>
      </c>
      <c r="F57" s="202">
        <v>1</v>
      </c>
      <c r="G57" s="203">
        <v>6</v>
      </c>
      <c r="H57" s="204">
        <f t="shared" si="0"/>
        <v>6</v>
      </c>
      <c r="I57" s="205">
        <v>4.5</v>
      </c>
      <c r="J57" s="206">
        <v>0.2</v>
      </c>
      <c r="K57" s="207">
        <f t="shared" si="1"/>
        <v>10.7</v>
      </c>
      <c r="L57" s="204">
        <f t="shared" si="2"/>
        <v>6</v>
      </c>
      <c r="M57" s="207">
        <f t="shared" si="3"/>
        <v>36</v>
      </c>
      <c r="N57" s="204">
        <f t="shared" si="4"/>
        <v>27</v>
      </c>
      <c r="O57" s="204">
        <f t="shared" si="5"/>
        <v>1.2</v>
      </c>
      <c r="P57" s="204">
        <f t="shared" si="6"/>
        <v>64.2</v>
      </c>
    </row>
    <row r="58" spans="1:16">
      <c r="A58" s="129" t="s">
        <v>627</v>
      </c>
      <c r="B58" s="129"/>
      <c r="C58" s="2" t="s">
        <v>585</v>
      </c>
      <c r="D58" s="6" t="s">
        <v>22</v>
      </c>
      <c r="E58" s="133">
        <v>2</v>
      </c>
      <c r="F58" s="202">
        <v>1</v>
      </c>
      <c r="G58" s="203">
        <v>6</v>
      </c>
      <c r="H58" s="204">
        <f t="shared" si="0"/>
        <v>6</v>
      </c>
      <c r="I58" s="205">
        <v>4.3</v>
      </c>
      <c r="J58" s="206">
        <v>0.2</v>
      </c>
      <c r="K58" s="207">
        <f t="shared" si="1"/>
        <v>10.5</v>
      </c>
      <c r="L58" s="204">
        <f t="shared" si="2"/>
        <v>2</v>
      </c>
      <c r="M58" s="207">
        <f t="shared" si="3"/>
        <v>12</v>
      </c>
      <c r="N58" s="204">
        <f t="shared" si="4"/>
        <v>8.6</v>
      </c>
      <c r="O58" s="204">
        <f t="shared" si="5"/>
        <v>0.4</v>
      </c>
      <c r="P58" s="204">
        <f t="shared" si="6"/>
        <v>21</v>
      </c>
    </row>
    <row r="59" spans="1:16">
      <c r="A59" s="129" t="s">
        <v>628</v>
      </c>
      <c r="B59" s="129"/>
      <c r="C59" s="2" t="s">
        <v>586</v>
      </c>
      <c r="D59" s="6" t="s">
        <v>0</v>
      </c>
      <c r="E59" s="133">
        <v>4</v>
      </c>
      <c r="F59" s="202">
        <v>0.4</v>
      </c>
      <c r="G59" s="203">
        <v>6</v>
      </c>
      <c r="H59" s="204">
        <f t="shared" si="0"/>
        <v>2.4</v>
      </c>
      <c r="I59" s="205">
        <v>5.63</v>
      </c>
      <c r="J59" s="206">
        <v>0.2</v>
      </c>
      <c r="K59" s="207">
        <f t="shared" si="1"/>
        <v>8.23</v>
      </c>
      <c r="L59" s="204">
        <f t="shared" si="2"/>
        <v>1.6</v>
      </c>
      <c r="M59" s="207">
        <f t="shared" si="3"/>
        <v>9.6</v>
      </c>
      <c r="N59" s="204">
        <f t="shared" si="4"/>
        <v>22.52</v>
      </c>
      <c r="O59" s="204">
        <f t="shared" si="5"/>
        <v>0.8</v>
      </c>
      <c r="P59" s="204">
        <f t="shared" si="6"/>
        <v>32.92</v>
      </c>
    </row>
    <row r="60" spans="1:16">
      <c r="A60" s="129" t="s">
        <v>629</v>
      </c>
      <c r="B60" s="129"/>
      <c r="C60" s="2" t="s">
        <v>587</v>
      </c>
      <c r="D60" s="6" t="s">
        <v>0</v>
      </c>
      <c r="E60" s="133">
        <v>6</v>
      </c>
      <c r="F60" s="202">
        <v>0.4</v>
      </c>
      <c r="G60" s="203">
        <v>6</v>
      </c>
      <c r="H60" s="204">
        <f t="shared" si="0"/>
        <v>2.4</v>
      </c>
      <c r="I60" s="205">
        <v>5.21</v>
      </c>
      <c r="J60" s="206">
        <v>0.2</v>
      </c>
      <c r="K60" s="207">
        <f t="shared" si="1"/>
        <v>7.81</v>
      </c>
      <c r="L60" s="204">
        <f t="shared" si="2"/>
        <v>2.4</v>
      </c>
      <c r="M60" s="207">
        <f t="shared" si="3"/>
        <v>14.4</v>
      </c>
      <c r="N60" s="204">
        <f t="shared" si="4"/>
        <v>31.26</v>
      </c>
      <c r="O60" s="204">
        <f t="shared" si="5"/>
        <v>1.2</v>
      </c>
      <c r="P60" s="204">
        <f t="shared" si="6"/>
        <v>46.86</v>
      </c>
    </row>
    <row r="61" spans="1:16">
      <c r="A61" s="129" t="s">
        <v>630</v>
      </c>
      <c r="B61" s="129"/>
      <c r="C61" s="2" t="s">
        <v>588</v>
      </c>
      <c r="D61" s="6" t="s">
        <v>0</v>
      </c>
      <c r="E61" s="133">
        <v>8</v>
      </c>
      <c r="F61" s="202">
        <v>0.4</v>
      </c>
      <c r="G61" s="203">
        <v>6</v>
      </c>
      <c r="H61" s="204">
        <f t="shared" si="0"/>
        <v>2.4</v>
      </c>
      <c r="I61" s="205">
        <v>4.99</v>
      </c>
      <c r="J61" s="206">
        <v>0.2</v>
      </c>
      <c r="K61" s="207">
        <f t="shared" si="1"/>
        <v>7.59</v>
      </c>
      <c r="L61" s="204">
        <f t="shared" si="2"/>
        <v>3.2</v>
      </c>
      <c r="M61" s="207">
        <f t="shared" si="3"/>
        <v>19.2</v>
      </c>
      <c r="N61" s="204">
        <f t="shared" si="4"/>
        <v>39.92</v>
      </c>
      <c r="O61" s="204">
        <f t="shared" si="5"/>
        <v>1.6</v>
      </c>
      <c r="P61" s="204">
        <f t="shared" si="6"/>
        <v>60.72</v>
      </c>
    </row>
    <row r="62" spans="1:16">
      <c r="A62" s="129" t="s">
        <v>631</v>
      </c>
      <c r="B62" s="129"/>
      <c r="C62" s="2" t="s">
        <v>589</v>
      </c>
      <c r="D62" s="6" t="s">
        <v>0</v>
      </c>
      <c r="E62" s="133">
        <v>12</v>
      </c>
      <c r="F62" s="202">
        <v>0.4</v>
      </c>
      <c r="G62" s="203">
        <v>6</v>
      </c>
      <c r="H62" s="204">
        <f t="shared" si="0"/>
        <v>2.4</v>
      </c>
      <c r="I62" s="205">
        <v>3.59</v>
      </c>
      <c r="J62" s="206">
        <v>0.2</v>
      </c>
      <c r="K62" s="207">
        <f t="shared" si="1"/>
        <v>6.19</v>
      </c>
      <c r="L62" s="204">
        <f t="shared" si="2"/>
        <v>4.8</v>
      </c>
      <c r="M62" s="207">
        <f t="shared" si="3"/>
        <v>28.8</v>
      </c>
      <c r="N62" s="204">
        <f t="shared" si="4"/>
        <v>43.08</v>
      </c>
      <c r="O62" s="204">
        <f t="shared" si="5"/>
        <v>2.4</v>
      </c>
      <c r="P62" s="204">
        <f t="shared" si="6"/>
        <v>74.28</v>
      </c>
    </row>
    <row r="63" spans="1:16">
      <c r="A63" s="129" t="s">
        <v>931</v>
      </c>
      <c r="B63" s="129"/>
      <c r="C63" s="2" t="s">
        <v>590</v>
      </c>
      <c r="D63" s="6" t="s">
        <v>0</v>
      </c>
      <c r="E63" s="133">
        <v>2</v>
      </c>
      <c r="F63" s="202">
        <v>0.4</v>
      </c>
      <c r="G63" s="203">
        <v>6</v>
      </c>
      <c r="H63" s="204">
        <f t="shared" si="0"/>
        <v>2.4</v>
      </c>
      <c r="I63" s="205">
        <v>3.32</v>
      </c>
      <c r="J63" s="206">
        <v>0.2</v>
      </c>
      <c r="K63" s="207">
        <f t="shared" si="1"/>
        <v>5.92</v>
      </c>
      <c r="L63" s="204">
        <f t="shared" si="2"/>
        <v>0.8</v>
      </c>
      <c r="M63" s="207">
        <f t="shared" si="3"/>
        <v>4.8</v>
      </c>
      <c r="N63" s="204">
        <f t="shared" si="4"/>
        <v>6.64</v>
      </c>
      <c r="O63" s="204">
        <f t="shared" si="5"/>
        <v>0.4</v>
      </c>
      <c r="P63" s="204">
        <f t="shared" si="6"/>
        <v>11.84</v>
      </c>
    </row>
    <row r="64" spans="1:16">
      <c r="A64" s="129" t="s">
        <v>932</v>
      </c>
      <c r="B64" s="129"/>
      <c r="C64" s="23" t="s">
        <v>463</v>
      </c>
      <c r="D64" s="153" t="s">
        <v>464</v>
      </c>
      <c r="E64" s="163">
        <v>1</v>
      </c>
      <c r="F64" s="202"/>
      <c r="G64" s="203">
        <v>6</v>
      </c>
      <c r="H64" s="204">
        <f t="shared" si="0"/>
        <v>0</v>
      </c>
      <c r="I64" s="205">
        <v>300</v>
      </c>
      <c r="J64" s="206"/>
      <c r="K64" s="207">
        <f t="shared" si="1"/>
        <v>300</v>
      </c>
      <c r="L64" s="204">
        <f t="shared" si="2"/>
        <v>0</v>
      </c>
      <c r="M64" s="207">
        <f t="shared" si="3"/>
        <v>0</v>
      </c>
      <c r="N64" s="204">
        <f t="shared" si="4"/>
        <v>300</v>
      </c>
      <c r="O64" s="204">
        <f t="shared" si="5"/>
        <v>0</v>
      </c>
      <c r="P64" s="204">
        <f t="shared" si="6"/>
        <v>300</v>
      </c>
    </row>
    <row r="65" spans="1:16">
      <c r="A65" s="129" t="s">
        <v>933</v>
      </c>
      <c r="B65" s="129"/>
      <c r="C65" s="3" t="s">
        <v>941</v>
      </c>
      <c r="D65" s="134" t="s">
        <v>942</v>
      </c>
      <c r="E65" s="131">
        <v>1</v>
      </c>
      <c r="F65" s="202">
        <f>150/5</f>
        <v>30</v>
      </c>
      <c r="G65" s="203">
        <v>6</v>
      </c>
      <c r="H65" s="204">
        <f t="shared" si="0"/>
        <v>180</v>
      </c>
      <c r="I65" s="205"/>
      <c r="J65" s="206">
        <v>20</v>
      </c>
      <c r="K65" s="207">
        <f t="shared" si="1"/>
        <v>200</v>
      </c>
      <c r="L65" s="204">
        <f t="shared" si="2"/>
        <v>30</v>
      </c>
      <c r="M65" s="207">
        <f t="shared" si="3"/>
        <v>180</v>
      </c>
      <c r="N65" s="204">
        <f t="shared" si="4"/>
        <v>0</v>
      </c>
      <c r="O65" s="204">
        <f t="shared" si="5"/>
        <v>20</v>
      </c>
      <c r="P65" s="204">
        <f t="shared" si="6"/>
        <v>200</v>
      </c>
    </row>
    <row r="66" spans="1:16">
      <c r="A66" s="129" t="s">
        <v>934</v>
      </c>
      <c r="B66" s="129"/>
      <c r="C66" s="3" t="s">
        <v>943</v>
      </c>
      <c r="D66" s="134" t="s">
        <v>942</v>
      </c>
      <c r="E66" s="131">
        <v>1</v>
      </c>
      <c r="F66" s="202">
        <v>10</v>
      </c>
      <c r="G66" s="203">
        <v>6</v>
      </c>
      <c r="H66" s="204">
        <f t="shared" si="0"/>
        <v>60</v>
      </c>
      <c r="I66" s="205"/>
      <c r="J66" s="206">
        <v>10</v>
      </c>
      <c r="K66" s="207">
        <f t="shared" si="1"/>
        <v>70</v>
      </c>
      <c r="L66" s="204">
        <f t="shared" si="2"/>
        <v>10</v>
      </c>
      <c r="M66" s="207">
        <f t="shared" si="3"/>
        <v>60</v>
      </c>
      <c r="N66" s="204">
        <f t="shared" si="4"/>
        <v>0</v>
      </c>
      <c r="O66" s="204">
        <f t="shared" si="5"/>
        <v>10</v>
      </c>
      <c r="P66" s="204">
        <f t="shared" si="6"/>
        <v>70</v>
      </c>
    </row>
    <row r="67" spans="1:16">
      <c r="A67" s="129" t="s">
        <v>935</v>
      </c>
      <c r="B67" s="129"/>
      <c r="C67" s="3" t="s">
        <v>944</v>
      </c>
      <c r="D67" s="134" t="s">
        <v>942</v>
      </c>
      <c r="E67" s="131">
        <v>1</v>
      </c>
      <c r="F67" s="202">
        <f>80/5</f>
        <v>16</v>
      </c>
      <c r="G67" s="203">
        <v>6</v>
      </c>
      <c r="H67" s="204">
        <f t="shared" si="0"/>
        <v>96</v>
      </c>
      <c r="I67" s="205">
        <v>50</v>
      </c>
      <c r="J67" s="206">
        <v>10</v>
      </c>
      <c r="K67" s="207">
        <f t="shared" si="1"/>
        <v>156</v>
      </c>
      <c r="L67" s="204">
        <f t="shared" si="2"/>
        <v>16</v>
      </c>
      <c r="M67" s="207">
        <f t="shared" si="3"/>
        <v>96</v>
      </c>
      <c r="N67" s="204">
        <f t="shared" si="4"/>
        <v>50</v>
      </c>
      <c r="O67" s="204">
        <f t="shared" si="5"/>
        <v>10</v>
      </c>
      <c r="P67" s="204">
        <f t="shared" si="6"/>
        <v>156</v>
      </c>
    </row>
    <row r="68" spans="1:16">
      <c r="A68" s="129" t="s">
        <v>936</v>
      </c>
      <c r="B68" s="129"/>
      <c r="C68" s="3" t="s">
        <v>945</v>
      </c>
      <c r="D68" s="134" t="s">
        <v>942</v>
      </c>
      <c r="E68" s="131">
        <v>1</v>
      </c>
      <c r="F68" s="202">
        <v>6</v>
      </c>
      <c r="G68" s="203">
        <v>6</v>
      </c>
      <c r="H68" s="204">
        <f t="shared" si="0"/>
        <v>36</v>
      </c>
      <c r="I68" s="205"/>
      <c r="J68" s="206">
        <v>3</v>
      </c>
      <c r="K68" s="207">
        <f t="shared" si="1"/>
        <v>39</v>
      </c>
      <c r="L68" s="204">
        <f t="shared" si="2"/>
        <v>6</v>
      </c>
      <c r="M68" s="207">
        <f t="shared" si="3"/>
        <v>36</v>
      </c>
      <c r="N68" s="204">
        <f t="shared" si="4"/>
        <v>0</v>
      </c>
      <c r="O68" s="204">
        <f t="shared" si="5"/>
        <v>3</v>
      </c>
      <c r="P68" s="204">
        <f t="shared" si="6"/>
        <v>39</v>
      </c>
    </row>
    <row r="69" spans="1:16">
      <c r="A69" s="129" t="s">
        <v>937</v>
      </c>
      <c r="B69" s="129"/>
      <c r="C69" s="3" t="s">
        <v>946</v>
      </c>
      <c r="D69" s="134" t="s">
        <v>942</v>
      </c>
      <c r="E69" s="131">
        <v>1</v>
      </c>
      <c r="F69" s="202">
        <v>8</v>
      </c>
      <c r="G69" s="203">
        <v>6</v>
      </c>
      <c r="H69" s="204">
        <f t="shared" si="0"/>
        <v>48</v>
      </c>
      <c r="I69" s="205"/>
      <c r="J69" s="206">
        <v>3</v>
      </c>
      <c r="K69" s="207">
        <f t="shared" si="1"/>
        <v>51</v>
      </c>
      <c r="L69" s="204">
        <f t="shared" si="2"/>
        <v>8</v>
      </c>
      <c r="M69" s="207">
        <f t="shared" si="3"/>
        <v>48</v>
      </c>
      <c r="N69" s="204">
        <f t="shared" si="4"/>
        <v>0</v>
      </c>
      <c r="O69" s="204">
        <f t="shared" si="5"/>
        <v>3</v>
      </c>
      <c r="P69" s="204">
        <f t="shared" si="6"/>
        <v>51</v>
      </c>
    </row>
    <row r="70" spans="1:16">
      <c r="A70" s="129" t="s">
        <v>938</v>
      </c>
      <c r="B70" s="129"/>
      <c r="C70" s="3" t="s">
        <v>947</v>
      </c>
      <c r="D70" s="134" t="s">
        <v>942</v>
      </c>
      <c r="E70" s="131">
        <v>1</v>
      </c>
      <c r="F70" s="202">
        <v>10</v>
      </c>
      <c r="G70" s="203">
        <v>6</v>
      </c>
      <c r="H70" s="204">
        <f t="shared" si="0"/>
        <v>60</v>
      </c>
      <c r="I70" s="205"/>
      <c r="J70" s="206">
        <v>5</v>
      </c>
      <c r="K70" s="207">
        <f t="shared" si="1"/>
        <v>65</v>
      </c>
      <c r="L70" s="204">
        <f t="shared" si="2"/>
        <v>10</v>
      </c>
      <c r="M70" s="207">
        <f t="shared" si="3"/>
        <v>60</v>
      </c>
      <c r="N70" s="204">
        <f t="shared" si="4"/>
        <v>0</v>
      </c>
      <c r="O70" s="204">
        <f t="shared" si="5"/>
        <v>5</v>
      </c>
      <c r="P70" s="204">
        <f t="shared" si="6"/>
        <v>65</v>
      </c>
    </row>
    <row r="71" spans="1:16" ht="25.5">
      <c r="A71" s="129" t="s">
        <v>971</v>
      </c>
      <c r="B71" s="129"/>
      <c r="C71" s="3" t="s">
        <v>1044</v>
      </c>
      <c r="D71" s="134" t="s">
        <v>0</v>
      </c>
      <c r="E71" s="131">
        <v>7</v>
      </c>
      <c r="F71" s="202">
        <v>1.2</v>
      </c>
      <c r="G71" s="203">
        <v>6</v>
      </c>
      <c r="H71" s="204">
        <f t="shared" si="0"/>
        <v>7.2</v>
      </c>
      <c r="I71" s="205">
        <v>9.5</v>
      </c>
      <c r="J71" s="206">
        <v>0.5</v>
      </c>
      <c r="K71" s="207">
        <f t="shared" si="1"/>
        <v>17.2</v>
      </c>
      <c r="L71" s="204">
        <f t="shared" si="2"/>
        <v>8.4</v>
      </c>
      <c r="M71" s="207">
        <f t="shared" si="3"/>
        <v>50.4</v>
      </c>
      <c r="N71" s="204">
        <f t="shared" si="4"/>
        <v>66.5</v>
      </c>
      <c r="O71" s="204">
        <f t="shared" si="5"/>
        <v>3.5</v>
      </c>
      <c r="P71" s="204">
        <f t="shared" si="6"/>
        <v>120.4</v>
      </c>
    </row>
    <row r="72" spans="1:16" ht="15">
      <c r="A72" s="199"/>
      <c r="B72" s="199"/>
      <c r="C72" s="200"/>
      <c r="D72" s="154"/>
      <c r="E72" s="201"/>
      <c r="F72" s="202"/>
      <c r="G72" s="203"/>
      <c r="H72" s="204"/>
      <c r="I72" s="205"/>
      <c r="J72" s="206"/>
      <c r="K72" s="207"/>
      <c r="L72" s="204"/>
      <c r="M72" s="207"/>
      <c r="N72" s="204"/>
      <c r="O72" s="204"/>
      <c r="P72" s="204"/>
    </row>
    <row r="73" spans="1:16">
      <c r="A73" s="208"/>
      <c r="B73" s="208"/>
      <c r="C73" s="209" t="s">
        <v>1112</v>
      </c>
      <c r="D73" s="210"/>
      <c r="E73" s="211"/>
      <c r="F73" s="212"/>
      <c r="G73" s="212"/>
      <c r="H73" s="212"/>
      <c r="I73" s="212"/>
      <c r="J73" s="213"/>
      <c r="K73" s="213"/>
      <c r="L73" s="214">
        <f>SUM(L17:L72)</f>
        <v>342</v>
      </c>
      <c r="M73" s="214">
        <f t="shared" ref="M73:P73" si="8">SUM(M17:M72)</f>
        <v>2052</v>
      </c>
      <c r="N73" s="214">
        <f t="shared" si="8"/>
        <v>5854.74</v>
      </c>
      <c r="O73" s="214">
        <f t="shared" si="8"/>
        <v>158.19999999999999</v>
      </c>
      <c r="P73" s="214">
        <f t="shared" si="8"/>
        <v>8064.94</v>
      </c>
    </row>
    <row r="74" spans="1:16" ht="15" customHeight="1">
      <c r="A74" s="215" t="s">
        <v>1113</v>
      </c>
      <c r="B74" s="215"/>
      <c r="C74" s="216"/>
      <c r="D74" s="215"/>
      <c r="E74" s="217"/>
      <c r="F74" s="217"/>
      <c r="G74" s="217"/>
      <c r="H74" s="217"/>
      <c r="I74" s="217"/>
      <c r="J74" s="217"/>
      <c r="K74" s="217"/>
      <c r="L74" s="218"/>
      <c r="M74" s="218"/>
      <c r="N74" s="218"/>
      <c r="O74" s="218"/>
      <c r="P74" s="218"/>
    </row>
    <row r="75" spans="1:16" ht="15.75">
      <c r="A75" s="219"/>
      <c r="B75" s="219"/>
      <c r="C75" s="220"/>
      <c r="D75" s="219"/>
      <c r="E75" s="219"/>
      <c r="F75" s="219"/>
      <c r="G75" s="219"/>
      <c r="H75" s="219"/>
      <c r="I75" s="219"/>
      <c r="J75" s="219"/>
      <c r="K75" s="219"/>
      <c r="L75" s="219"/>
      <c r="M75" s="219"/>
      <c r="N75" s="219"/>
      <c r="O75" s="219"/>
      <c r="P75" s="219"/>
    </row>
    <row r="76" spans="1:16" ht="15">
      <c r="A76" s="219"/>
      <c r="B76" s="219"/>
      <c r="C76" s="219"/>
      <c r="D76" s="219"/>
      <c r="E76" s="219"/>
      <c r="F76" s="219"/>
      <c r="G76" s="219"/>
      <c r="H76" s="219"/>
      <c r="I76" s="219"/>
      <c r="J76" s="219"/>
      <c r="K76" s="219"/>
      <c r="L76" s="219"/>
      <c r="M76" s="219"/>
      <c r="N76" s="219"/>
      <c r="O76" s="219"/>
      <c r="P76" s="219"/>
    </row>
    <row r="77" spans="1:16" ht="15">
      <c r="A77" s="219"/>
      <c r="B77" s="219"/>
      <c r="C77" s="221" t="s">
        <v>1114</v>
      </c>
      <c r="D77" s="221"/>
      <c r="E77" s="221"/>
      <c r="F77" s="221"/>
      <c r="G77" s="222"/>
      <c r="H77" s="223"/>
      <c r="I77" s="223" t="s">
        <v>1115</v>
      </c>
      <c r="J77" s="222" t="s">
        <v>1116</v>
      </c>
      <c r="K77" s="222"/>
      <c r="L77" s="222"/>
      <c r="M77" s="222"/>
      <c r="N77" s="224"/>
      <c r="O77" s="219"/>
      <c r="P77" s="219"/>
    </row>
    <row r="78" spans="1:16" ht="15" customHeight="1">
      <c r="A78" s="219"/>
      <c r="B78" s="219"/>
      <c r="C78" s="225" t="s">
        <v>1097</v>
      </c>
      <c r="D78" s="225"/>
      <c r="E78" s="225"/>
      <c r="F78" s="225"/>
      <c r="G78" s="222"/>
      <c r="H78" s="222"/>
      <c r="I78" s="222"/>
      <c r="J78" s="312" t="s">
        <v>1097</v>
      </c>
      <c r="K78" s="312"/>
      <c r="L78" s="312"/>
      <c r="M78" s="312"/>
      <c r="N78" s="224"/>
      <c r="O78" s="219"/>
      <c r="P78" s="219"/>
    </row>
    <row r="79" spans="1:16" ht="15">
      <c r="A79" s="219"/>
      <c r="B79" s="219"/>
      <c r="C79" s="222" t="s">
        <v>1075</v>
      </c>
      <c r="D79" s="222"/>
      <c r="E79" s="222"/>
      <c r="F79" s="222"/>
      <c r="G79" s="222"/>
      <c r="H79" s="222"/>
      <c r="I79" s="222" t="s">
        <v>1078</v>
      </c>
      <c r="J79" s="222"/>
      <c r="K79" s="222"/>
      <c r="L79" s="222"/>
      <c r="M79" s="222"/>
      <c r="N79" s="224"/>
      <c r="O79" s="219"/>
      <c r="P79" s="219"/>
    </row>
    <row r="80" spans="1:16">
      <c r="A80" s="166"/>
      <c r="B80" s="166"/>
    </row>
    <row r="81" spans="1:16" ht="15" customHeight="1">
      <c r="A81" s="166"/>
      <c r="B81" s="166"/>
    </row>
    <row r="82" spans="1:16" s="157" customFormat="1">
      <c r="A82" s="166"/>
      <c r="B82" s="166"/>
      <c r="C82" s="121"/>
      <c r="D82" s="121"/>
      <c r="E82" s="121"/>
      <c r="F82" s="121"/>
      <c r="G82" s="121"/>
      <c r="H82" s="121"/>
      <c r="I82" s="121"/>
      <c r="J82" s="121"/>
      <c r="K82" s="121"/>
      <c r="L82" s="121"/>
      <c r="M82" s="121"/>
      <c r="N82" s="121"/>
      <c r="O82" s="121"/>
      <c r="P82" s="121"/>
    </row>
    <row r="83" spans="1:16">
      <c r="A83" s="166"/>
      <c r="B83" s="166"/>
    </row>
    <row r="84" spans="1:16">
      <c r="A84" s="166"/>
      <c r="B84" s="166"/>
    </row>
  </sheetData>
  <mergeCells count="15">
    <mergeCell ref="A9:E9"/>
    <mergeCell ref="A2:E2"/>
    <mergeCell ref="A4:E4"/>
    <mergeCell ref="A5:E5"/>
    <mergeCell ref="A7:E7"/>
    <mergeCell ref="A8:E8"/>
    <mergeCell ref="F14:K14"/>
    <mergeCell ref="L14:P14"/>
    <mergeCell ref="J78:M78"/>
    <mergeCell ref="A12:E12"/>
    <mergeCell ref="A14:A15"/>
    <mergeCell ref="C14:C15"/>
    <mergeCell ref="D14:D15"/>
    <mergeCell ref="E14:E15"/>
    <mergeCell ref="B14:B15"/>
  </mergeCells>
  <conditionalFormatting sqref="C34:C35 C61:C62">
    <cfRule type="cellIs" dxfId="2" priority="1" stopIfTrue="1" operator="equal">
      <formula>0</formula>
    </cfRule>
  </conditionalFormatting>
  <pageMargins left="0.93" right="0.70866141732283472" top="0.64" bottom="0.79" header="0.11811023622047245" footer="0.15748031496062992"/>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Koptāme</vt:lpstr>
      <vt:lpstr>Kopsavilkums</vt:lpstr>
      <vt:lpstr>BA1 CELTN.</vt:lpstr>
      <vt:lpstr>BA2 EL</vt:lpstr>
      <vt:lpstr>BA3 ELT</vt:lpstr>
      <vt:lpstr>BA4 UATS</vt:lpstr>
      <vt:lpstr>BA5 UK</vt:lpstr>
      <vt:lpstr>BA6 LKT</vt:lpstr>
      <vt:lpstr>BA7 SM</vt:lpstr>
      <vt:lpstr>BA8 VENT</vt:lpstr>
      <vt:lpstr>BA9 APKURE</vt:lpstr>
      <vt:lpstr>BA10 CEĻI</vt:lpstr>
      <vt:lpstr>'BA1 CELTN.'!Print_Area</vt:lpstr>
      <vt:lpstr>'BA10 CEĻI'!Print_Area</vt:lpstr>
      <vt:lpstr>'BA2 EL'!Print_Area</vt:lpstr>
      <vt:lpstr>'BA3 ELT'!Print_Area</vt:lpstr>
      <vt:lpstr>'BA4 UATS'!Print_Area</vt:lpstr>
      <vt:lpstr>'BA5 UK'!Print_Area</vt:lpstr>
      <vt:lpstr>'BA6 LKT'!Print_Area</vt:lpstr>
      <vt:lpstr>'BA7 SM'!Print_Area</vt:lpstr>
      <vt:lpstr>'BA8 VENT'!Print_Area</vt:lpstr>
      <vt:lpstr>'BA9 APKURE'!Print_Area</vt:lpstr>
      <vt:lpstr>'BA1 CELTN.'!Print_Titles</vt:lpstr>
      <vt:lpstr>'BA10 CEĻI'!Print_Titles</vt:lpstr>
      <vt:lpstr>'BA2 EL'!Print_Titles</vt:lpstr>
      <vt:lpstr>'BA3 ELT'!Print_Titles</vt:lpstr>
      <vt:lpstr>'BA4 UATS'!Print_Titles</vt:lpstr>
      <vt:lpstr>'BA5 UK'!Print_Titles</vt:lpstr>
      <vt:lpstr>'BA6 LKT'!Print_Titles</vt:lpstr>
      <vt:lpstr>'BA7 SM'!Print_Titles</vt:lpstr>
      <vt:lpstr>'BA8 VENT'!Print_Titles</vt:lpstr>
      <vt:lpstr>'BA9 APKURE'!Print_Titles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4Stils</dc:creator>
  <cp:lastModifiedBy>Lita</cp:lastModifiedBy>
  <cp:lastPrinted>2021-06-14T12:28:04Z</cp:lastPrinted>
  <dcterms:created xsi:type="dcterms:W3CDTF">2011-08-11T11:00:57Z</dcterms:created>
  <dcterms:modified xsi:type="dcterms:W3CDTF">2021-06-14T12:30:57Z</dcterms:modified>
</cp:coreProperties>
</file>